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9225"/>
  </bookViews>
  <sheets>
    <sheet name="Свод " sheetId="4" r:id="rId1"/>
    <sheet name="тексеру тариф" sheetId="11" state="hidden" r:id="rId2"/>
    <sheet name="АУП 2023" sheetId="2" r:id="rId3"/>
    <sheet name="МҰҒАЛІМ" sheetId="1" r:id="rId4"/>
    <sheet name="ШТАТ" sheetId="5" r:id="rId5"/>
    <sheet name="анық" sheetId="3" r:id="rId6"/>
    <sheet name="Магист,ағылшын,санат" sheetId="6" r:id="rId7"/>
    <sheet name="Дәптер" sheetId="7" r:id="rId8"/>
    <sheet name="Гимназя сағат" sheetId="9" r:id="rId9"/>
    <sheet name="үйден оқыту " sheetId="10" r:id="rId10"/>
    <sheet name="Перетариф К.Абдуллаева" sheetId="12" r:id="rId11"/>
    <sheet name="Жұмашова.А" sheetId="13" r:id="rId12"/>
    <sheet name="К.Манабаева" sheetId="14" r:id="rId13"/>
    <sheet name="А.Ұлымбаева" sheetId="15" r:id="rId14"/>
    <sheet name="штат А.Ұлымбаева" sheetId="16" r:id="rId15"/>
    <sheet name="ФайзуллаеваЛ Исаева" sheetId="17" r:id="rId16"/>
    <sheet name="Тұрғанбек Ұ" sheetId="18" r:id="rId17"/>
    <sheet name="Үйден Бөрібай Н" sheetId="19" r:id="rId18"/>
  </sheets>
  <definedNames>
    <definedName name="_xlnm._FilterDatabase" localSheetId="2" hidden="1">'АУП 2023'!$A$10:$AE$100</definedName>
    <definedName name="_xlnm._FilterDatabase" localSheetId="11" hidden="1">Жұмашова.А!$A$10:$AE$12</definedName>
    <definedName name="_xlnm._FilterDatabase" localSheetId="12" hidden="1">К.Манабаева!$A$10:$AE$12</definedName>
    <definedName name="_xlnm._FilterDatabase" localSheetId="1" hidden="1">'тексеру тариф'!$A$10:$AF$100</definedName>
    <definedName name="_xlnm._FilterDatabase" localSheetId="14" hidden="1">'штат А.Ұлымбаева'!$A$10:$AE$12</definedName>
    <definedName name="_xlnm.Print_Area" localSheetId="13">А.Ұлымбаева!$A$1:$AS$22</definedName>
    <definedName name="_xlnm.Print_Area" localSheetId="5">анық!$A$1:$AP$53</definedName>
    <definedName name="_xlnm.Print_Area" localSheetId="2">'АУП 2023'!$A$1:$AE$150</definedName>
    <definedName name="_xlnm.Print_Area" localSheetId="8">'Гимназя сағат'!$A$1:$K$34</definedName>
    <definedName name="_xlnm.Print_Area" localSheetId="11">Жұмашова.А!$A$1:$AE$19</definedName>
    <definedName name="_xlnm.Print_Area" localSheetId="12">К.Манабаева!$A$1:$AE$19</definedName>
    <definedName name="_xlnm.Print_Area" localSheetId="3">МҰҒАЛІМ!$A$1:$AS$166</definedName>
    <definedName name="_xlnm.Print_Area" localSheetId="10">'Перетариф К.Абдуллаева'!$A$1:$AS$23</definedName>
    <definedName name="_xlnm.Print_Area" localSheetId="0">'Свод '!$A$1:$AB$71</definedName>
    <definedName name="_xlnm.Print_Area" localSheetId="1">'тексеру тариф'!$A$1:$AF$149</definedName>
    <definedName name="_xlnm.Print_Area" localSheetId="16">'Тұрғанбек Ұ'!$A$1:$AS$28</definedName>
    <definedName name="_xlnm.Print_Area" localSheetId="17">'Үйден Бөрібай Н'!$A$1:$AS$25</definedName>
    <definedName name="_xlnm.Print_Area" localSheetId="9">'үйден оқыту '!$A$1:$I$31</definedName>
    <definedName name="_xlnm.Print_Area" localSheetId="15">'ФайзуллаеваЛ Исаева'!$A$1:$AS$23</definedName>
    <definedName name="_xlnm.Print_Area" localSheetId="14">'штат А.Ұлымбаева'!$A$1:$AE$20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9"/>
  <c r="N14" s="1"/>
  <c r="K14"/>
  <c r="L14"/>
  <c r="X14"/>
  <c r="Z14"/>
  <c r="AB14"/>
  <c r="AD14"/>
  <c r="AI14"/>
  <c r="AK14"/>
  <c r="P14" l="1"/>
  <c r="R14"/>
  <c r="S14" l="1"/>
  <c r="T14" s="1"/>
  <c r="V14" s="1"/>
  <c r="U14" l="1"/>
  <c r="AG14"/>
  <c r="AN14"/>
  <c r="AQ14" l="1"/>
  <c r="AR14" s="1"/>
  <c r="AP18" l="1"/>
  <c r="AO18"/>
  <c r="AN18"/>
  <c r="AM18"/>
  <c r="AL18"/>
  <c r="AJ18"/>
  <c r="AH18"/>
  <c r="AF18"/>
  <c r="AE18"/>
  <c r="AC18"/>
  <c r="AA18"/>
  <c r="Y18"/>
  <c r="W18"/>
  <c r="Q18"/>
  <c r="O18"/>
  <c r="M18"/>
  <c r="AK17"/>
  <c r="AI17"/>
  <c r="AD17"/>
  <c r="AB17"/>
  <c r="Z17"/>
  <c r="X17"/>
  <c r="L17"/>
  <c r="K17"/>
  <c r="J17"/>
  <c r="N17" s="1"/>
  <c r="AK16"/>
  <c r="AI16"/>
  <c r="AD16"/>
  <c r="AB16"/>
  <c r="Z16"/>
  <c r="X16"/>
  <c r="L16"/>
  <c r="K16"/>
  <c r="J16"/>
  <c r="N16" s="1"/>
  <c r="AK15"/>
  <c r="AI15"/>
  <c r="AD15"/>
  <c r="AB15"/>
  <c r="Z15"/>
  <c r="X15"/>
  <c r="L15"/>
  <c r="K15"/>
  <c r="J15"/>
  <c r="P15" s="1"/>
  <c r="AK15" i="18"/>
  <c r="AI15"/>
  <c r="AD15"/>
  <c r="AB15"/>
  <c r="Z15"/>
  <c r="X15"/>
  <c r="L15"/>
  <c r="K15"/>
  <c r="J15"/>
  <c r="P15" s="1"/>
  <c r="AK16"/>
  <c r="AI16"/>
  <c r="AD16"/>
  <c r="AB16"/>
  <c r="Z16"/>
  <c r="X16"/>
  <c r="L16"/>
  <c r="K16"/>
  <c r="J16"/>
  <c r="P16" s="1"/>
  <c r="J19"/>
  <c r="N19" s="1"/>
  <c r="K19"/>
  <c r="L19"/>
  <c r="P19"/>
  <c r="X19"/>
  <c r="Z19"/>
  <c r="AB19"/>
  <c r="AD19"/>
  <c r="AI19"/>
  <c r="AK19"/>
  <c r="J17"/>
  <c r="R17" s="1"/>
  <c r="K17"/>
  <c r="L17"/>
  <c r="X17"/>
  <c r="Z17"/>
  <c r="AB17"/>
  <c r="AD17"/>
  <c r="AI17"/>
  <c r="AK17"/>
  <c r="J20"/>
  <c r="K20"/>
  <c r="L20"/>
  <c r="X20"/>
  <c r="Z20"/>
  <c r="AB20"/>
  <c r="AD20"/>
  <c r="AI20"/>
  <c r="AK20"/>
  <c r="N20" l="1"/>
  <c r="P20"/>
  <c r="N15"/>
  <c r="X18" i="19"/>
  <c r="Z18"/>
  <c r="AK18"/>
  <c r="L18"/>
  <c r="K18"/>
  <c r="AB18"/>
  <c r="AI18"/>
  <c r="AD18"/>
  <c r="J18"/>
  <c r="R15"/>
  <c r="N15"/>
  <c r="R16"/>
  <c r="R17"/>
  <c r="P16"/>
  <c r="P17"/>
  <c r="S15" i="18"/>
  <c r="T15" s="1"/>
  <c r="R15"/>
  <c r="R16"/>
  <c r="N16"/>
  <c r="R19"/>
  <c r="S19" s="1"/>
  <c r="T19" s="1"/>
  <c r="P17"/>
  <c r="N17"/>
  <c r="R20"/>
  <c r="S20" s="1"/>
  <c r="J13" i="17"/>
  <c r="N13" s="1"/>
  <c r="K13"/>
  <c r="L13"/>
  <c r="P13"/>
  <c r="X13"/>
  <c r="Z13"/>
  <c r="AB13"/>
  <c r="AD13"/>
  <c r="AI13"/>
  <c r="AK13"/>
  <c r="AK18" i="18"/>
  <c r="AI18"/>
  <c r="AD18"/>
  <c r="AB18"/>
  <c r="Z18"/>
  <c r="X18"/>
  <c r="L18"/>
  <c r="K18"/>
  <c r="J18"/>
  <c r="AK14"/>
  <c r="AI14"/>
  <c r="AD14"/>
  <c r="AB14"/>
  <c r="Z14"/>
  <c r="X14"/>
  <c r="L14"/>
  <c r="K14"/>
  <c r="J14"/>
  <c r="AK15" i="17"/>
  <c r="AI15"/>
  <c r="AD15"/>
  <c r="AB15"/>
  <c r="Z15"/>
  <c r="X15"/>
  <c r="L15"/>
  <c r="K15"/>
  <c r="J15"/>
  <c r="P15" s="1"/>
  <c r="AK14"/>
  <c r="AI14"/>
  <c r="AD14"/>
  <c r="AB14"/>
  <c r="Z14"/>
  <c r="X14"/>
  <c r="L14"/>
  <c r="K14"/>
  <c r="J14"/>
  <c r="P14" s="1"/>
  <c r="K12" i="16"/>
  <c r="AK14" i="15"/>
  <c r="AI14"/>
  <c r="AD14"/>
  <c r="AB14"/>
  <c r="Z14"/>
  <c r="X14"/>
  <c r="L14"/>
  <c r="K14"/>
  <c r="J14"/>
  <c r="P14" s="1"/>
  <c r="K12" i="14"/>
  <c r="K12" i="13"/>
  <c r="L12" s="1"/>
  <c r="AP16" i="12"/>
  <c r="AO16"/>
  <c r="AN16"/>
  <c r="AM16"/>
  <c r="AL16"/>
  <c r="AJ16"/>
  <c r="AH16"/>
  <c r="AF16"/>
  <c r="AE16"/>
  <c r="AC16"/>
  <c r="AA16"/>
  <c r="Y16"/>
  <c r="W16"/>
  <c r="Q16"/>
  <c r="O16"/>
  <c r="M16"/>
  <c r="AK15"/>
  <c r="AI15"/>
  <c r="AD15"/>
  <c r="AB15"/>
  <c r="Z15"/>
  <c r="X15"/>
  <c r="L15"/>
  <c r="K15"/>
  <c r="J15"/>
  <c r="P15" s="1"/>
  <c r="AK14"/>
  <c r="AI14"/>
  <c r="AD14"/>
  <c r="AD16" s="1"/>
  <c r="AB14"/>
  <c r="Z14"/>
  <c r="X14"/>
  <c r="L14"/>
  <c r="K14"/>
  <c r="J14"/>
  <c r="P14" s="1"/>
  <c r="AR159" i="1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AQ159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AQ130"/>
  <c r="AR13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Q132"/>
  <c r="AR132" s="1"/>
  <c r="AQ133"/>
  <c r="AR133" s="1"/>
  <c r="AQ134"/>
  <c r="AR134" s="1"/>
  <c r="AQ135"/>
  <c r="AR135" s="1"/>
  <c r="AQ136"/>
  <c r="AR136" s="1"/>
  <c r="AQ137"/>
  <c r="AR137" s="1"/>
  <c r="AQ138"/>
  <c r="AR138" s="1"/>
  <c r="AQ139"/>
  <c r="AR139" s="1"/>
  <c r="AQ140"/>
  <c r="AR140" s="1"/>
  <c r="AQ141"/>
  <c r="AR141" s="1"/>
  <c r="AQ142"/>
  <c r="AR142" s="1"/>
  <c r="AQ143"/>
  <c r="AR143" s="1"/>
  <c r="AQ144"/>
  <c r="AR144" s="1"/>
  <c r="AQ145"/>
  <c r="AR145" s="1"/>
  <c r="AQ146"/>
  <c r="AR146" s="1"/>
  <c r="AQ147"/>
  <c r="AR147" s="1"/>
  <c r="AQ148"/>
  <c r="AR148" s="1"/>
  <c r="AQ149"/>
  <c r="AR149" s="1"/>
  <c r="AQ150"/>
  <c r="AR150" s="1"/>
  <c r="AQ151"/>
  <c r="AR151" s="1"/>
  <c r="AQ152"/>
  <c r="AR152" s="1"/>
  <c r="AQ153"/>
  <c r="AR153" s="1"/>
  <c r="AQ154"/>
  <c r="AR154" s="1"/>
  <c r="AQ155"/>
  <c r="AR155" s="1"/>
  <c r="AQ156"/>
  <c r="AR156" s="1"/>
  <c r="AQ157"/>
  <c r="AR157" s="1"/>
  <c r="AQ158"/>
  <c r="AR158" s="1"/>
  <c r="AQ131"/>
  <c r="AR131" s="1"/>
  <c r="AK132"/>
  <c r="AK133"/>
  <c r="AK134"/>
  <c r="AK135"/>
  <c r="AK136"/>
  <c r="AK137"/>
  <c r="AK138"/>
  <c r="AK139"/>
  <c r="AK140"/>
  <c r="AK141"/>
  <c r="AK142"/>
  <c r="AK143"/>
  <c r="AK144"/>
  <c r="AK145"/>
  <c r="AK146"/>
  <c r="AK147"/>
  <c r="AK148"/>
  <c r="AK149"/>
  <c r="AK150"/>
  <c r="AK151"/>
  <c r="AK152"/>
  <c r="AK153"/>
  <c r="AK154"/>
  <c r="AK155"/>
  <c r="AK156"/>
  <c r="AK157"/>
  <c r="AK158"/>
  <c r="AI132"/>
  <c r="AI133"/>
  <c r="AI134"/>
  <c r="AI135"/>
  <c r="AI136"/>
  <c r="AI137"/>
  <c r="AI138"/>
  <c r="AI139"/>
  <c r="AI140"/>
  <c r="AI141"/>
  <c r="AI142"/>
  <c r="AI143"/>
  <c r="AI144"/>
  <c r="AI145"/>
  <c r="AI146"/>
  <c r="AI147"/>
  <c r="AI148"/>
  <c r="AI149"/>
  <c r="AI150"/>
  <c r="AI151"/>
  <c r="AI152"/>
  <c r="AI153"/>
  <c r="AI154"/>
  <c r="AI155"/>
  <c r="AI156"/>
  <c r="AI157"/>
  <c r="AI158"/>
  <c r="AG132"/>
  <c r="AG133"/>
  <c r="AG134"/>
  <c r="AG135"/>
  <c r="AG136"/>
  <c r="AG137"/>
  <c r="AG138"/>
  <c r="AG139"/>
  <c r="AG140"/>
  <c r="AG141"/>
  <c r="AG142"/>
  <c r="AG143"/>
  <c r="AG144"/>
  <c r="AG145"/>
  <c r="AG146"/>
  <c r="AG147"/>
  <c r="AG148"/>
  <c r="AG149"/>
  <c r="AG150"/>
  <c r="AG151"/>
  <c r="AG152"/>
  <c r="AG153"/>
  <c r="AG154"/>
  <c r="AG155"/>
  <c r="AG156"/>
  <c r="AG157"/>
  <c r="AG158"/>
  <c r="AK131"/>
  <c r="AI131"/>
  <c r="AG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AD131"/>
  <c r="AB131"/>
  <c r="Z131"/>
  <c r="X131"/>
  <c r="R132"/>
  <c r="R133"/>
  <c r="R134"/>
  <c r="S134" s="1"/>
  <c r="T134" s="1"/>
  <c r="R135"/>
  <c r="S135"/>
  <c r="T135" s="1"/>
  <c r="R136"/>
  <c r="R137"/>
  <c r="R138"/>
  <c r="S138" s="1"/>
  <c r="T138" s="1"/>
  <c r="R139"/>
  <c r="S139"/>
  <c r="T139" s="1"/>
  <c r="R140"/>
  <c r="R141"/>
  <c r="R142"/>
  <c r="S142" s="1"/>
  <c r="T142" s="1"/>
  <c r="R143"/>
  <c r="S143"/>
  <c r="T143" s="1"/>
  <c r="R144"/>
  <c r="R145"/>
  <c r="R146"/>
  <c r="S146" s="1"/>
  <c r="T146" s="1"/>
  <c r="R147"/>
  <c r="S147"/>
  <c r="T147" s="1"/>
  <c r="R148"/>
  <c r="R149"/>
  <c r="R150"/>
  <c r="S150" s="1"/>
  <c r="T150" s="1"/>
  <c r="R151"/>
  <c r="S151"/>
  <c r="T151" s="1"/>
  <c r="R152"/>
  <c r="R153"/>
  <c r="R154"/>
  <c r="S154" s="1"/>
  <c r="T154" s="1"/>
  <c r="R155"/>
  <c r="S155"/>
  <c r="T155" s="1"/>
  <c r="R156"/>
  <c r="R157"/>
  <c r="R158"/>
  <c r="S158" s="1"/>
  <c r="T158" s="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S131"/>
  <c r="T131" s="1"/>
  <c r="R131"/>
  <c r="P131"/>
  <c r="N131"/>
  <c r="J13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N101"/>
  <c r="J101"/>
  <c r="AQ70"/>
  <c r="AR70" s="1"/>
  <c r="AQ71"/>
  <c r="AR71" s="1"/>
  <c r="AQ72"/>
  <c r="AR72" s="1"/>
  <c r="AQ73"/>
  <c r="AR73" s="1"/>
  <c r="AQ74"/>
  <c r="AR74" s="1"/>
  <c r="AQ75"/>
  <c r="AR75" s="1"/>
  <c r="AQ76"/>
  <c r="AR76" s="1"/>
  <c r="AQ77"/>
  <c r="AR77" s="1"/>
  <c r="AQ78"/>
  <c r="AR78" s="1"/>
  <c r="AQ79"/>
  <c r="AR79" s="1"/>
  <c r="AQ80"/>
  <c r="AR80" s="1"/>
  <c r="AQ81"/>
  <c r="AR81" s="1"/>
  <c r="AQ82"/>
  <c r="AR82" s="1"/>
  <c r="AQ83"/>
  <c r="AR83" s="1"/>
  <c r="AQ84"/>
  <c r="AR84" s="1"/>
  <c r="AQ85"/>
  <c r="AR85" s="1"/>
  <c r="AQ86"/>
  <c r="AR86" s="1"/>
  <c r="AQ87"/>
  <c r="AR87" s="1"/>
  <c r="AQ88"/>
  <c r="AR88" s="1"/>
  <c r="AQ89"/>
  <c r="AR89" s="1"/>
  <c r="AQ90"/>
  <c r="AR90" s="1"/>
  <c r="AQ91"/>
  <c r="AR91" s="1"/>
  <c r="AQ92"/>
  <c r="AR92" s="1"/>
  <c r="AQ93"/>
  <c r="AR93" s="1"/>
  <c r="AQ94"/>
  <c r="AR94" s="1"/>
  <c r="AQ95"/>
  <c r="AR95" s="1"/>
  <c r="AQ96"/>
  <c r="AR96" s="1"/>
  <c r="AQ97"/>
  <c r="AR97" s="1"/>
  <c r="AQ98"/>
  <c r="AR98" s="1"/>
  <c r="AQ99"/>
  <c r="AR99" s="1"/>
  <c r="AQ69"/>
  <c r="AR69" s="1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K69"/>
  <c r="AI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Z69"/>
  <c r="X69"/>
  <c r="R70"/>
  <c r="R71"/>
  <c r="R72"/>
  <c r="S72" s="1"/>
  <c r="T72" s="1"/>
  <c r="R73"/>
  <c r="S73"/>
  <c r="T73" s="1"/>
  <c r="R74"/>
  <c r="R75"/>
  <c r="R76"/>
  <c r="S76" s="1"/>
  <c r="T76" s="1"/>
  <c r="R77"/>
  <c r="S77"/>
  <c r="T77" s="1"/>
  <c r="R78"/>
  <c r="R79"/>
  <c r="R80"/>
  <c r="S80" s="1"/>
  <c r="T80" s="1"/>
  <c r="R81"/>
  <c r="S81"/>
  <c r="T81" s="1"/>
  <c r="R82"/>
  <c r="R83"/>
  <c r="R84"/>
  <c r="S84" s="1"/>
  <c r="T84" s="1"/>
  <c r="R85"/>
  <c r="T85" s="1"/>
  <c r="S85"/>
  <c r="R86"/>
  <c r="R87"/>
  <c r="R88"/>
  <c r="S88" s="1"/>
  <c r="T88" s="1"/>
  <c r="R89"/>
  <c r="S89"/>
  <c r="T89" s="1"/>
  <c r="R90"/>
  <c r="R91"/>
  <c r="R92"/>
  <c r="S92" s="1"/>
  <c r="T92" s="1"/>
  <c r="R93"/>
  <c r="S93"/>
  <c r="T93" s="1"/>
  <c r="R94"/>
  <c r="R95"/>
  <c r="R96"/>
  <c r="S96" s="1"/>
  <c r="T96" s="1"/>
  <c r="R97"/>
  <c r="S97"/>
  <c r="T97" s="1"/>
  <c r="R98"/>
  <c r="R99"/>
  <c r="T99" s="1"/>
  <c r="S99"/>
  <c r="R69"/>
  <c r="S69" s="1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69"/>
  <c r="AQ24"/>
  <c r="AR24" s="1"/>
  <c r="AQ25"/>
  <c r="AR25" s="1"/>
  <c r="AQ26"/>
  <c r="AR26" s="1"/>
  <c r="AQ27"/>
  <c r="AR27" s="1"/>
  <c r="AQ28"/>
  <c r="AR28" s="1"/>
  <c r="AQ29"/>
  <c r="AR29" s="1"/>
  <c r="AQ30"/>
  <c r="AR30" s="1"/>
  <c r="AQ31"/>
  <c r="AR31" s="1"/>
  <c r="AQ32"/>
  <c r="AR32" s="1"/>
  <c r="AQ33"/>
  <c r="AR33" s="1"/>
  <c r="AQ34"/>
  <c r="AR34" s="1"/>
  <c r="AQ35"/>
  <c r="AR35" s="1"/>
  <c r="AQ36"/>
  <c r="AR36" s="1"/>
  <c r="AQ37"/>
  <c r="AR37" s="1"/>
  <c r="AQ38"/>
  <c r="AR38" s="1"/>
  <c r="AQ39"/>
  <c r="AR39" s="1"/>
  <c r="AQ40"/>
  <c r="AR40" s="1"/>
  <c r="AQ41"/>
  <c r="AR41" s="1"/>
  <c r="AQ42"/>
  <c r="AR42" s="1"/>
  <c r="AQ43"/>
  <c r="AR43" s="1"/>
  <c r="AQ44"/>
  <c r="AR44" s="1"/>
  <c r="AQ45"/>
  <c r="AR45" s="1"/>
  <c r="AQ46"/>
  <c r="AR46" s="1"/>
  <c r="AQ47"/>
  <c r="AR47" s="1"/>
  <c r="AQ48"/>
  <c r="AR48" s="1"/>
  <c r="AQ49"/>
  <c r="AR49" s="1"/>
  <c r="AQ50"/>
  <c r="AR50" s="1"/>
  <c r="AQ51"/>
  <c r="AR51" s="1"/>
  <c r="AQ52"/>
  <c r="AR52" s="1"/>
  <c r="AQ53"/>
  <c r="AR53" s="1"/>
  <c r="AQ54"/>
  <c r="AR54" s="1"/>
  <c r="AQ55"/>
  <c r="AR55" s="1"/>
  <c r="AQ56"/>
  <c r="AR56" s="1"/>
  <c r="AQ57"/>
  <c r="AR57" s="1"/>
  <c r="AQ58"/>
  <c r="AR58" s="1"/>
  <c r="AQ59"/>
  <c r="AR59" s="1"/>
  <c r="AQ60"/>
  <c r="AR60" s="1"/>
  <c r="AQ61"/>
  <c r="AR61" s="1"/>
  <c r="AQ62"/>
  <c r="AR62" s="1"/>
  <c r="AQ63"/>
  <c r="AR63" s="1"/>
  <c r="AQ64"/>
  <c r="AR64" s="1"/>
  <c r="AQ65"/>
  <c r="AR65" s="1"/>
  <c r="AQ66"/>
  <c r="AR66" s="1"/>
  <c r="AQ67"/>
  <c r="AR67" s="1"/>
  <c r="AR23"/>
  <c r="AQ23"/>
  <c r="AO60"/>
  <c r="AO61"/>
  <c r="AO62"/>
  <c r="AO63"/>
  <c r="AO64"/>
  <c r="AO65"/>
  <c r="AO66"/>
  <c r="AO67"/>
  <c r="AO59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25"/>
  <c r="AO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23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23"/>
  <c r="R24"/>
  <c r="R25"/>
  <c r="R26"/>
  <c r="S26" s="1"/>
  <c r="T26" s="1"/>
  <c r="R27"/>
  <c r="S27"/>
  <c r="T27" s="1"/>
  <c r="R28"/>
  <c r="R29"/>
  <c r="R30"/>
  <c r="S30" s="1"/>
  <c r="T30" s="1"/>
  <c r="R31"/>
  <c r="T31" s="1"/>
  <c r="S31"/>
  <c r="R32"/>
  <c r="R33"/>
  <c r="R34"/>
  <c r="S34"/>
  <c r="T34"/>
  <c r="V34" s="1"/>
  <c r="R35"/>
  <c r="T35" s="1"/>
  <c r="S35"/>
  <c r="R36"/>
  <c r="R37"/>
  <c r="R38"/>
  <c r="S38"/>
  <c r="T38"/>
  <c r="V38" s="1"/>
  <c r="R39"/>
  <c r="T39" s="1"/>
  <c r="S39"/>
  <c r="R40"/>
  <c r="R41"/>
  <c r="R42"/>
  <c r="S42" s="1"/>
  <c r="R43"/>
  <c r="S43"/>
  <c r="T43" s="1"/>
  <c r="R44"/>
  <c r="T44" s="1"/>
  <c r="S44"/>
  <c r="R45"/>
  <c r="R46"/>
  <c r="S46" s="1"/>
  <c r="R47"/>
  <c r="S47" s="1"/>
  <c r="T47" s="1"/>
  <c r="R48"/>
  <c r="T48" s="1"/>
  <c r="S48"/>
  <c r="R49"/>
  <c r="R50"/>
  <c r="S50" s="1"/>
  <c r="R51"/>
  <c r="S51" s="1"/>
  <c r="T51" s="1"/>
  <c r="R52"/>
  <c r="T52" s="1"/>
  <c r="S52"/>
  <c r="R53"/>
  <c r="R54"/>
  <c r="S54" s="1"/>
  <c r="R55"/>
  <c r="R56"/>
  <c r="R57"/>
  <c r="R58"/>
  <c r="S58" s="1"/>
  <c r="R59"/>
  <c r="R60"/>
  <c r="R61"/>
  <c r="R62"/>
  <c r="S62" s="1"/>
  <c r="R63"/>
  <c r="S63" s="1"/>
  <c r="T63" s="1"/>
  <c r="R64"/>
  <c r="T64" s="1"/>
  <c r="S64"/>
  <c r="R65"/>
  <c r="R66"/>
  <c r="S66" s="1"/>
  <c r="R67"/>
  <c r="S67" s="1"/>
  <c r="T67" s="1"/>
  <c r="V23"/>
  <c r="U23"/>
  <c r="T23"/>
  <c r="S23"/>
  <c r="R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23"/>
  <c r="N67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23"/>
  <c r="L136"/>
  <c r="L138" i="2"/>
  <c r="N138"/>
  <c r="S138"/>
  <c r="T138"/>
  <c r="U138"/>
  <c r="V138"/>
  <c r="W138"/>
  <c r="X138"/>
  <c r="Y138"/>
  <c r="Z138"/>
  <c r="AA138"/>
  <c r="AB138"/>
  <c r="AC138"/>
  <c r="L83"/>
  <c r="N83"/>
  <c r="S83"/>
  <c r="T83"/>
  <c r="U83"/>
  <c r="V83"/>
  <c r="W83"/>
  <c r="X83"/>
  <c r="Y83"/>
  <c r="Z83"/>
  <c r="AA83"/>
  <c r="AB83"/>
  <c r="AC83"/>
  <c r="N77"/>
  <c r="R77"/>
  <c r="S77"/>
  <c r="T77"/>
  <c r="U77"/>
  <c r="V77"/>
  <c r="W77"/>
  <c r="X77"/>
  <c r="Y77"/>
  <c r="Z77"/>
  <c r="AA77"/>
  <c r="AB77"/>
  <c r="AC77"/>
  <c r="N49"/>
  <c r="R49"/>
  <c r="T49"/>
  <c r="U49"/>
  <c r="V49"/>
  <c r="W49"/>
  <c r="X49"/>
  <c r="AB49"/>
  <c r="AC49"/>
  <c r="N21"/>
  <c r="R21"/>
  <c r="S21"/>
  <c r="T21"/>
  <c r="U21"/>
  <c r="V21"/>
  <c r="W21"/>
  <c r="X21"/>
  <c r="Y21"/>
  <c r="Z21"/>
  <c r="AA21"/>
  <c r="AB21"/>
  <c r="T12"/>
  <c r="U12"/>
  <c r="V12"/>
  <c r="W12"/>
  <c r="X12"/>
  <c r="AB12"/>
  <c r="AD138" i="11"/>
  <c r="AC138"/>
  <c r="AB138"/>
  <c r="AA138"/>
  <c r="Z138"/>
  <c r="Y138"/>
  <c r="X138"/>
  <c r="W138"/>
  <c r="V138"/>
  <c r="U138"/>
  <c r="T138"/>
  <c r="M138"/>
  <c r="F138"/>
  <c r="L137"/>
  <c r="N137" s="1"/>
  <c r="S136"/>
  <c r="N136"/>
  <c r="L136"/>
  <c r="S135"/>
  <c r="L135"/>
  <c r="N135" s="1"/>
  <c r="S134"/>
  <c r="L134"/>
  <c r="N134" s="1"/>
  <c r="L133"/>
  <c r="N133" s="1"/>
  <c r="L132"/>
  <c r="N132" s="1"/>
  <c r="L131"/>
  <c r="N131" s="1"/>
  <c r="L130"/>
  <c r="N130" s="1"/>
  <c r="L129"/>
  <c r="N129" s="1"/>
  <c r="L128"/>
  <c r="N128" s="1"/>
  <c r="L127"/>
  <c r="N127" s="1"/>
  <c r="L126"/>
  <c r="N126" s="1"/>
  <c r="S125"/>
  <c r="N125"/>
  <c r="Q125" s="1"/>
  <c r="L125"/>
  <c r="S124"/>
  <c r="L124"/>
  <c r="N124" s="1"/>
  <c r="S123"/>
  <c r="L123"/>
  <c r="N123" s="1"/>
  <c r="S122"/>
  <c r="L122"/>
  <c r="N122" s="1"/>
  <c r="S121"/>
  <c r="N121"/>
  <c r="Q121" s="1"/>
  <c r="L121"/>
  <c r="S120"/>
  <c r="L120"/>
  <c r="N120" s="1"/>
  <c r="S119"/>
  <c r="N119"/>
  <c r="L119"/>
  <c r="S118"/>
  <c r="L118"/>
  <c r="N118" s="1"/>
  <c r="S117"/>
  <c r="R117"/>
  <c r="N117"/>
  <c r="Q117" s="1"/>
  <c r="L117"/>
  <c r="N116"/>
  <c r="L116"/>
  <c r="L115"/>
  <c r="N115" s="1"/>
  <c r="L114"/>
  <c r="N114" s="1"/>
  <c r="S113"/>
  <c r="L113"/>
  <c r="N113" s="1"/>
  <c r="S112"/>
  <c r="L112"/>
  <c r="N112" s="1"/>
  <c r="S111"/>
  <c r="L111"/>
  <c r="N111" s="1"/>
  <c r="S110"/>
  <c r="N110"/>
  <c r="L110"/>
  <c r="S109"/>
  <c r="L109"/>
  <c r="N109" s="1"/>
  <c r="S108"/>
  <c r="L108"/>
  <c r="N108" s="1"/>
  <c r="S107"/>
  <c r="L107"/>
  <c r="N107" s="1"/>
  <c r="S106"/>
  <c r="N106"/>
  <c r="L106"/>
  <c r="S105"/>
  <c r="L105"/>
  <c r="N105" s="1"/>
  <c r="S104"/>
  <c r="L104"/>
  <c r="N104" s="1"/>
  <c r="S103"/>
  <c r="L103"/>
  <c r="N103" s="1"/>
  <c r="S102"/>
  <c r="L102"/>
  <c r="N102" s="1"/>
  <c r="S101"/>
  <c r="L101"/>
  <c r="N101" s="1"/>
  <c r="S100"/>
  <c r="L100"/>
  <c r="N100" s="1"/>
  <c r="S99"/>
  <c r="L99"/>
  <c r="N99" s="1"/>
  <c r="S98"/>
  <c r="N98"/>
  <c r="L98"/>
  <c r="S97"/>
  <c r="L97"/>
  <c r="N97" s="1"/>
  <c r="S96"/>
  <c r="L96"/>
  <c r="N96" s="1"/>
  <c r="S95"/>
  <c r="L95"/>
  <c r="N95" s="1"/>
  <c r="S94"/>
  <c r="N94"/>
  <c r="L94"/>
  <c r="S93"/>
  <c r="L93"/>
  <c r="N93" s="1"/>
  <c r="S92"/>
  <c r="L92"/>
  <c r="N92" s="1"/>
  <c r="S91"/>
  <c r="L91"/>
  <c r="N91" s="1"/>
  <c r="S90"/>
  <c r="S138" s="1"/>
  <c r="N90"/>
  <c r="L90"/>
  <c r="L89"/>
  <c r="N89" s="1"/>
  <c r="L88"/>
  <c r="N88" s="1"/>
  <c r="L87"/>
  <c r="N87" s="1"/>
  <c r="L86"/>
  <c r="N86" s="1"/>
  <c r="L85"/>
  <c r="N85" s="1"/>
  <c r="L84"/>
  <c r="L138" s="1"/>
  <c r="AD83"/>
  <c r="AC83"/>
  <c r="AB83"/>
  <c r="AA83"/>
  <c r="Z83"/>
  <c r="Y83"/>
  <c r="X83"/>
  <c r="W83"/>
  <c r="V83"/>
  <c r="U83"/>
  <c r="T83"/>
  <c r="M83"/>
  <c r="F83"/>
  <c r="S82"/>
  <c r="L82"/>
  <c r="N82" s="1"/>
  <c r="S81"/>
  <c r="L81"/>
  <c r="N81" s="1"/>
  <c r="S80"/>
  <c r="S83" s="1"/>
  <c r="L80"/>
  <c r="N80" s="1"/>
  <c r="L79"/>
  <c r="N79" s="1"/>
  <c r="L78"/>
  <c r="N78" s="1"/>
  <c r="AD77"/>
  <c r="AC77"/>
  <c r="AB77"/>
  <c r="AA77"/>
  <c r="Z77"/>
  <c r="Y77"/>
  <c r="X77"/>
  <c r="W77"/>
  <c r="V77"/>
  <c r="U77"/>
  <c r="T77"/>
  <c r="S77"/>
  <c r="F77"/>
  <c r="L76"/>
  <c r="N76" s="1"/>
  <c r="L75"/>
  <c r="N75" s="1"/>
  <c r="L74"/>
  <c r="N74" s="1"/>
  <c r="M73"/>
  <c r="L73"/>
  <c r="N73" s="1"/>
  <c r="L72"/>
  <c r="M72" s="1"/>
  <c r="M71"/>
  <c r="L71"/>
  <c r="N71" s="1"/>
  <c r="L70"/>
  <c r="M70" s="1"/>
  <c r="N70" s="1"/>
  <c r="M69"/>
  <c r="L69"/>
  <c r="N69" s="1"/>
  <c r="L68"/>
  <c r="M68" s="1"/>
  <c r="L67"/>
  <c r="M67" s="1"/>
  <c r="L66"/>
  <c r="M66" s="1"/>
  <c r="L65"/>
  <c r="L64"/>
  <c r="M64" s="1"/>
  <c r="L63"/>
  <c r="M63" s="1"/>
  <c r="L62"/>
  <c r="M62" s="1"/>
  <c r="L61"/>
  <c r="L60"/>
  <c r="M60" s="1"/>
  <c r="L59"/>
  <c r="M59" s="1"/>
  <c r="L58"/>
  <c r="M58" s="1"/>
  <c r="L57"/>
  <c r="L56"/>
  <c r="M56" s="1"/>
  <c r="L55"/>
  <c r="M55" s="1"/>
  <c r="L54"/>
  <c r="M54" s="1"/>
  <c r="L53"/>
  <c r="L52"/>
  <c r="M52" s="1"/>
  <c r="L51"/>
  <c r="M51" s="1"/>
  <c r="L50"/>
  <c r="L77" s="1"/>
  <c r="AD49"/>
  <c r="AC49"/>
  <c r="Y49"/>
  <c r="X49"/>
  <c r="W49"/>
  <c r="V49"/>
  <c r="U49"/>
  <c r="S49"/>
  <c r="F49"/>
  <c r="L48"/>
  <c r="L47"/>
  <c r="L46"/>
  <c r="M46" s="1"/>
  <c r="N46" s="1"/>
  <c r="L45"/>
  <c r="M45" s="1"/>
  <c r="L44"/>
  <c r="M44" s="1"/>
  <c r="L43"/>
  <c r="M43" s="1"/>
  <c r="L42"/>
  <c r="L41"/>
  <c r="M41" s="1"/>
  <c r="L40"/>
  <c r="M40" s="1"/>
  <c r="L39"/>
  <c r="M39" s="1"/>
  <c r="L38"/>
  <c r="M38" s="1"/>
  <c r="L37"/>
  <c r="M37" s="1"/>
  <c r="L36"/>
  <c r="L35"/>
  <c r="L34"/>
  <c r="M34" s="1"/>
  <c r="N34" s="1"/>
  <c r="M33"/>
  <c r="L33"/>
  <c r="N33" s="1"/>
  <c r="L32"/>
  <c r="M32" s="1"/>
  <c r="L31"/>
  <c r="M30"/>
  <c r="N30" s="1"/>
  <c r="L30"/>
  <c r="L29"/>
  <c r="M29" s="1"/>
  <c r="M28"/>
  <c r="N28" s="1"/>
  <c r="L28"/>
  <c r="M27"/>
  <c r="N27" s="1"/>
  <c r="L27"/>
  <c r="L26"/>
  <c r="M26" s="1"/>
  <c r="L25"/>
  <c r="M25" s="1"/>
  <c r="L24"/>
  <c r="M24" s="1"/>
  <c r="L23"/>
  <c r="M23" s="1"/>
  <c r="N23" s="1"/>
  <c r="L22"/>
  <c r="L49" s="1"/>
  <c r="AC21"/>
  <c r="AB21"/>
  <c r="AA21"/>
  <c r="Z21"/>
  <c r="Y21"/>
  <c r="X21"/>
  <c r="W21"/>
  <c r="W12" s="1"/>
  <c r="V21"/>
  <c r="U21"/>
  <c r="T21"/>
  <c r="S21"/>
  <c r="S12" s="1"/>
  <c r="F21"/>
  <c r="L20"/>
  <c r="N20" s="1"/>
  <c r="L19"/>
  <c r="M19" s="1"/>
  <c r="L18"/>
  <c r="M18" s="1"/>
  <c r="L17"/>
  <c r="M17" s="1"/>
  <c r="L16"/>
  <c r="M16" s="1"/>
  <c r="L15"/>
  <c r="M15" s="1"/>
  <c r="L14"/>
  <c r="M14" s="1"/>
  <c r="L13"/>
  <c r="M13" s="1"/>
  <c r="M21" s="1"/>
  <c r="AC12"/>
  <c r="Y12"/>
  <c r="X12"/>
  <c r="V12"/>
  <c r="U12"/>
  <c r="F12"/>
  <c r="S15" i="19" l="1"/>
  <c r="T15" s="1"/>
  <c r="V15" s="1"/>
  <c r="P18"/>
  <c r="N18"/>
  <c r="R18"/>
  <c r="S17"/>
  <c r="T17" s="1"/>
  <c r="S16"/>
  <c r="T16" s="1"/>
  <c r="U15" i="18"/>
  <c r="AN15"/>
  <c r="V15"/>
  <c r="AG15"/>
  <c r="S16"/>
  <c r="T16" s="1"/>
  <c r="AG19"/>
  <c r="V19"/>
  <c r="U19"/>
  <c r="S17"/>
  <c r="T17" s="1"/>
  <c r="P14"/>
  <c r="N18"/>
  <c r="T20"/>
  <c r="R13" i="17"/>
  <c r="S13" s="1"/>
  <c r="T13" s="1"/>
  <c r="N14"/>
  <c r="R14"/>
  <c r="N14" i="18"/>
  <c r="R18"/>
  <c r="P18"/>
  <c r="R14"/>
  <c r="N15" i="17"/>
  <c r="R15"/>
  <c r="S14"/>
  <c r="T14" s="1"/>
  <c r="L12" i="16"/>
  <c r="M12" s="1"/>
  <c r="N14" i="15"/>
  <c r="R14"/>
  <c r="L12" i="14"/>
  <c r="M12" s="1"/>
  <c r="M12" i="13"/>
  <c r="O12" s="1"/>
  <c r="L16" i="12"/>
  <c r="Z16"/>
  <c r="AK16"/>
  <c r="J16"/>
  <c r="AB16"/>
  <c r="N14"/>
  <c r="N15"/>
  <c r="S15" s="1"/>
  <c r="K16"/>
  <c r="X16"/>
  <c r="AI16"/>
  <c r="R14"/>
  <c r="R15"/>
  <c r="V158" i="1"/>
  <c r="U158"/>
  <c r="V151"/>
  <c r="U151"/>
  <c r="V142"/>
  <c r="U142"/>
  <c r="V135"/>
  <c r="U135"/>
  <c r="V155"/>
  <c r="U155"/>
  <c r="V146"/>
  <c r="U146"/>
  <c r="V139"/>
  <c r="U139"/>
  <c r="V150"/>
  <c r="U150"/>
  <c r="V143"/>
  <c r="U143"/>
  <c r="V134"/>
  <c r="U134"/>
  <c r="V154"/>
  <c r="U154"/>
  <c r="V147"/>
  <c r="U147"/>
  <c r="V138"/>
  <c r="U138"/>
  <c r="T157"/>
  <c r="S156"/>
  <c r="T156" s="1"/>
  <c r="S152"/>
  <c r="T152" s="1"/>
  <c r="S148"/>
  <c r="T148" s="1"/>
  <c r="S144"/>
  <c r="T144" s="1"/>
  <c r="S140"/>
  <c r="T140" s="1"/>
  <c r="S136"/>
  <c r="T136" s="1"/>
  <c r="S132"/>
  <c r="T132" s="1"/>
  <c r="S157"/>
  <c r="S153"/>
  <c r="T153" s="1"/>
  <c r="S149"/>
  <c r="T149" s="1"/>
  <c r="S145"/>
  <c r="T145" s="1"/>
  <c r="S141"/>
  <c r="T141" s="1"/>
  <c r="S137"/>
  <c r="T137" s="1"/>
  <c r="S133"/>
  <c r="T133" s="1"/>
  <c r="U131"/>
  <c r="V131"/>
  <c r="S101"/>
  <c r="T101" s="1"/>
  <c r="V101" s="1"/>
  <c r="V99"/>
  <c r="U99"/>
  <c r="V96"/>
  <c r="U96"/>
  <c r="V89"/>
  <c r="U89"/>
  <c r="V80"/>
  <c r="U80"/>
  <c r="V73"/>
  <c r="U73"/>
  <c r="V93"/>
  <c r="U93"/>
  <c r="V84"/>
  <c r="U84"/>
  <c r="V77"/>
  <c r="U77"/>
  <c r="V97"/>
  <c r="U97"/>
  <c r="V88"/>
  <c r="U88"/>
  <c r="V85"/>
  <c r="U85"/>
  <c r="V81"/>
  <c r="U81"/>
  <c r="V72"/>
  <c r="U72"/>
  <c r="V92"/>
  <c r="U92"/>
  <c r="V76"/>
  <c r="U76"/>
  <c r="S98"/>
  <c r="T98" s="1"/>
  <c r="S94"/>
  <c r="T94" s="1"/>
  <c r="S90"/>
  <c r="T90" s="1"/>
  <c r="S86"/>
  <c r="T86" s="1"/>
  <c r="S82"/>
  <c r="T82" s="1"/>
  <c r="S78"/>
  <c r="T78" s="1"/>
  <c r="S74"/>
  <c r="T74" s="1"/>
  <c r="S70"/>
  <c r="T70" s="1"/>
  <c r="S95"/>
  <c r="T95" s="1"/>
  <c r="S91"/>
  <c r="T91" s="1"/>
  <c r="S87"/>
  <c r="T87" s="1"/>
  <c r="S83"/>
  <c r="T83" s="1"/>
  <c r="S79"/>
  <c r="T79" s="1"/>
  <c r="S75"/>
  <c r="T75" s="1"/>
  <c r="S71"/>
  <c r="T71" s="1"/>
  <c r="T69"/>
  <c r="V67"/>
  <c r="U67"/>
  <c r="U64"/>
  <c r="V64"/>
  <c r="V43"/>
  <c r="U43"/>
  <c r="V31"/>
  <c r="U31"/>
  <c r="V27"/>
  <c r="U27"/>
  <c r="V47"/>
  <c r="U47"/>
  <c r="U44"/>
  <c r="V44"/>
  <c r="V51"/>
  <c r="U51"/>
  <c r="U48"/>
  <c r="V48"/>
  <c r="V39"/>
  <c r="U39"/>
  <c r="V26"/>
  <c r="U26"/>
  <c r="V63"/>
  <c r="U63"/>
  <c r="U52"/>
  <c r="V52"/>
  <c r="V35"/>
  <c r="U35"/>
  <c r="V30"/>
  <c r="U30"/>
  <c r="T55"/>
  <c r="T66"/>
  <c r="T62"/>
  <c r="S59"/>
  <c r="T59" s="1"/>
  <c r="T58"/>
  <c r="S55"/>
  <c r="T54"/>
  <c r="T50"/>
  <c r="T46"/>
  <c r="T42"/>
  <c r="S60"/>
  <c r="T60" s="1"/>
  <c r="S56"/>
  <c r="T56" s="1"/>
  <c r="S40"/>
  <c r="T40" s="1"/>
  <c r="U38"/>
  <c r="S36"/>
  <c r="T36" s="1"/>
  <c r="U34"/>
  <c r="S32"/>
  <c r="T32" s="1"/>
  <c r="S28"/>
  <c r="T28" s="1"/>
  <c r="S24"/>
  <c r="T24" s="1"/>
  <c r="S65"/>
  <c r="T65" s="1"/>
  <c r="S61"/>
  <c r="T61" s="1"/>
  <c r="S57"/>
  <c r="T57" s="1"/>
  <c r="S53"/>
  <c r="T53" s="1"/>
  <c r="S49"/>
  <c r="T49" s="1"/>
  <c r="S45"/>
  <c r="T45" s="1"/>
  <c r="S41"/>
  <c r="T41" s="1"/>
  <c r="S37"/>
  <c r="T37" s="1"/>
  <c r="S33"/>
  <c r="T33" s="1"/>
  <c r="S29"/>
  <c r="T29" s="1"/>
  <c r="S25"/>
  <c r="T25" s="1"/>
  <c r="Z27" i="11"/>
  <c r="Q27"/>
  <c r="R27"/>
  <c r="R33"/>
  <c r="AE33" s="1"/>
  <c r="AF33" s="1"/>
  <c r="Q33"/>
  <c r="R71"/>
  <c r="AE71"/>
  <c r="AF71" s="1"/>
  <c r="Q71"/>
  <c r="Q86"/>
  <c r="AE86" s="1"/>
  <c r="AF86" s="1"/>
  <c r="R86"/>
  <c r="AE95"/>
  <c r="AF95" s="1"/>
  <c r="Q95"/>
  <c r="R95"/>
  <c r="R97"/>
  <c r="AE97" s="1"/>
  <c r="AF97" s="1"/>
  <c r="Q97"/>
  <c r="Q108"/>
  <c r="R108"/>
  <c r="AE108" s="1"/>
  <c r="AF108" s="1"/>
  <c r="R126"/>
  <c r="Q126"/>
  <c r="AE126" s="1"/>
  <c r="AF126" s="1"/>
  <c r="R130"/>
  <c r="Q130"/>
  <c r="AE130" s="1"/>
  <c r="AF130" s="1"/>
  <c r="R134"/>
  <c r="AE134" s="1"/>
  <c r="AF134" s="1"/>
  <c r="Q134"/>
  <c r="Q23"/>
  <c r="AE23" s="1"/>
  <c r="AF23" s="1"/>
  <c r="R23"/>
  <c r="Q70"/>
  <c r="R70"/>
  <c r="AE70" s="1"/>
  <c r="AF70" s="1"/>
  <c r="Q73"/>
  <c r="R73"/>
  <c r="AE73"/>
  <c r="AF73" s="1"/>
  <c r="R76"/>
  <c r="Q76"/>
  <c r="AE76" s="1"/>
  <c r="AF76" s="1"/>
  <c r="AE80"/>
  <c r="AF80" s="1"/>
  <c r="Q80"/>
  <c r="R80"/>
  <c r="R82"/>
  <c r="AE82"/>
  <c r="AF82" s="1"/>
  <c r="Q82"/>
  <c r="Q85"/>
  <c r="R85"/>
  <c r="AE85"/>
  <c r="AF85" s="1"/>
  <c r="Q89"/>
  <c r="R89"/>
  <c r="AE89"/>
  <c r="AF89" s="1"/>
  <c r="AE91"/>
  <c r="AF91" s="1"/>
  <c r="Q91"/>
  <c r="R91"/>
  <c r="R93"/>
  <c r="AE93"/>
  <c r="AF93" s="1"/>
  <c r="Q93"/>
  <c r="Q100"/>
  <c r="R100"/>
  <c r="AE100"/>
  <c r="AF100" s="1"/>
  <c r="Q102"/>
  <c r="R102"/>
  <c r="AE102" s="1"/>
  <c r="AF102" s="1"/>
  <c r="Q104"/>
  <c r="AE104" s="1"/>
  <c r="AF104" s="1"/>
  <c r="R104"/>
  <c r="Q111"/>
  <c r="AE111" s="1"/>
  <c r="AF111" s="1"/>
  <c r="R111"/>
  <c r="R113"/>
  <c r="Q113"/>
  <c r="AE113" s="1"/>
  <c r="AF113" s="1"/>
  <c r="R122"/>
  <c r="Q122"/>
  <c r="AE122" s="1"/>
  <c r="AF122" s="1"/>
  <c r="AE124"/>
  <c r="AF124" s="1"/>
  <c r="Q124"/>
  <c r="R124"/>
  <c r="Q129"/>
  <c r="R129"/>
  <c r="AE129" s="1"/>
  <c r="AF129" s="1"/>
  <c r="Q133"/>
  <c r="R133"/>
  <c r="AE133"/>
  <c r="AF133" s="1"/>
  <c r="Q137"/>
  <c r="R137"/>
  <c r="AE137"/>
  <c r="AF137" s="1"/>
  <c r="T28"/>
  <c r="T49" s="1"/>
  <c r="T12" s="1"/>
  <c r="Z28"/>
  <c r="Q28"/>
  <c r="AE28" s="1"/>
  <c r="AF28" s="1"/>
  <c r="R28"/>
  <c r="Q34"/>
  <c r="R34"/>
  <c r="AE34" s="1"/>
  <c r="AF34" s="1"/>
  <c r="AE46"/>
  <c r="AF46" s="1"/>
  <c r="Q46"/>
  <c r="R46"/>
  <c r="Q75"/>
  <c r="R75"/>
  <c r="AE75" s="1"/>
  <c r="AF75" s="1"/>
  <c r="R79"/>
  <c r="Q79"/>
  <c r="AE79" s="1"/>
  <c r="AF79" s="1"/>
  <c r="Q88"/>
  <c r="R88"/>
  <c r="AE88" s="1"/>
  <c r="AF88" s="1"/>
  <c r="Q96"/>
  <c r="AE96" s="1"/>
  <c r="AF96" s="1"/>
  <c r="R96"/>
  <c r="Q107"/>
  <c r="AE107" s="1"/>
  <c r="AF107" s="1"/>
  <c r="R107"/>
  <c r="R109"/>
  <c r="Q109"/>
  <c r="AE109" s="1"/>
  <c r="AF109" s="1"/>
  <c r="Q115"/>
  <c r="R115"/>
  <c r="AE115"/>
  <c r="AF115" s="1"/>
  <c r="AE120"/>
  <c r="AF120" s="1"/>
  <c r="Q120"/>
  <c r="R120"/>
  <c r="R128"/>
  <c r="AE128"/>
  <c r="AF128" s="1"/>
  <c r="Q128"/>
  <c r="R132"/>
  <c r="Q132"/>
  <c r="AE132" s="1"/>
  <c r="AF132" s="1"/>
  <c r="Q135"/>
  <c r="R135"/>
  <c r="AE135" s="1"/>
  <c r="AF135" s="1"/>
  <c r="AE20"/>
  <c r="AF20" s="1"/>
  <c r="Q20"/>
  <c r="R20"/>
  <c r="Q30"/>
  <c r="AE30" s="1"/>
  <c r="AF30" s="1"/>
  <c r="R30"/>
  <c r="Q69"/>
  <c r="R69"/>
  <c r="AE69"/>
  <c r="AF69" s="1"/>
  <c r="R74"/>
  <c r="Q74"/>
  <c r="AE74" s="1"/>
  <c r="AF74" s="1"/>
  <c r="Q78"/>
  <c r="R78"/>
  <c r="N83"/>
  <c r="Q81"/>
  <c r="AE81" s="1"/>
  <c r="AF81" s="1"/>
  <c r="R81"/>
  <c r="Q87"/>
  <c r="R87"/>
  <c r="AE87" s="1"/>
  <c r="AF87" s="1"/>
  <c r="Q92"/>
  <c r="R92"/>
  <c r="AE92"/>
  <c r="AF92" s="1"/>
  <c r="AE99"/>
  <c r="AF99" s="1"/>
  <c r="Q99"/>
  <c r="R99"/>
  <c r="R101"/>
  <c r="AE101" s="1"/>
  <c r="AF101" s="1"/>
  <c r="Q101"/>
  <c r="Q103"/>
  <c r="AE103" s="1"/>
  <c r="AF103" s="1"/>
  <c r="R103"/>
  <c r="R105"/>
  <c r="Q105"/>
  <c r="AE105" s="1"/>
  <c r="AF105" s="1"/>
  <c r="Q112"/>
  <c r="AE112" s="1"/>
  <c r="AF112" s="1"/>
  <c r="R112"/>
  <c r="AE114"/>
  <c r="AF114" s="1"/>
  <c r="Q114"/>
  <c r="R114"/>
  <c r="R118"/>
  <c r="AE118"/>
  <c r="AF118" s="1"/>
  <c r="Q118"/>
  <c r="Q123"/>
  <c r="AE123" s="1"/>
  <c r="AF123" s="1"/>
  <c r="R123"/>
  <c r="Q127"/>
  <c r="AE127" s="1"/>
  <c r="AF127" s="1"/>
  <c r="R127"/>
  <c r="Q131"/>
  <c r="AE131" s="1"/>
  <c r="AF131" s="1"/>
  <c r="R131"/>
  <c r="N57"/>
  <c r="AE110"/>
  <c r="AF110" s="1"/>
  <c r="N13"/>
  <c r="L21"/>
  <c r="M22"/>
  <c r="N24"/>
  <c r="N25"/>
  <c r="M31"/>
  <c r="N31" s="1"/>
  <c r="N32"/>
  <c r="M35"/>
  <c r="N35" s="1"/>
  <c r="M36"/>
  <c r="N36" s="1"/>
  <c r="N37"/>
  <c r="M42"/>
  <c r="N42" s="1"/>
  <c r="N43"/>
  <c r="M47"/>
  <c r="N47" s="1"/>
  <c r="M48"/>
  <c r="N48" s="1"/>
  <c r="M53"/>
  <c r="N53" s="1"/>
  <c r="N54"/>
  <c r="M57"/>
  <c r="N58"/>
  <c r="M61"/>
  <c r="N61" s="1"/>
  <c r="N62"/>
  <c r="M65"/>
  <c r="N65" s="1"/>
  <c r="N66"/>
  <c r="R90"/>
  <c r="R94"/>
  <c r="R98"/>
  <c r="R106"/>
  <c r="R110"/>
  <c r="R116"/>
  <c r="AE117"/>
  <c r="AF117" s="1"/>
  <c r="R119"/>
  <c r="N14"/>
  <c r="N15"/>
  <c r="N16"/>
  <c r="N17"/>
  <c r="N18"/>
  <c r="N19"/>
  <c r="N26"/>
  <c r="N29"/>
  <c r="N38"/>
  <c r="N39"/>
  <c r="N40"/>
  <c r="N44"/>
  <c r="N45"/>
  <c r="M50"/>
  <c r="M77" s="1"/>
  <c r="N51"/>
  <c r="N55"/>
  <c r="N59"/>
  <c r="N63"/>
  <c r="N67"/>
  <c r="Q90"/>
  <c r="AE90" s="1"/>
  <c r="AF90" s="1"/>
  <c r="Q94"/>
  <c r="AE94" s="1"/>
  <c r="AF94" s="1"/>
  <c r="Q98"/>
  <c r="AE98" s="1"/>
  <c r="AF98" s="1"/>
  <c r="Q106"/>
  <c r="AE106" s="1"/>
  <c r="AF106" s="1"/>
  <c r="Q110"/>
  <c r="Q116"/>
  <c r="AE116" s="1"/>
  <c r="AF116" s="1"/>
  <c r="Q119"/>
  <c r="AE119" s="1"/>
  <c r="AF119" s="1"/>
  <c r="R136"/>
  <c r="N41"/>
  <c r="N52"/>
  <c r="N56"/>
  <c r="N60"/>
  <c r="N64"/>
  <c r="N68"/>
  <c r="N72"/>
  <c r="L83"/>
  <c r="N84"/>
  <c r="R121"/>
  <c r="AE121" s="1"/>
  <c r="AF121" s="1"/>
  <c r="R125"/>
  <c r="AE125" s="1"/>
  <c r="AF125" s="1"/>
  <c r="Q136"/>
  <c r="AE136" s="1"/>
  <c r="AF136" s="1"/>
  <c r="K127" i="2"/>
  <c r="M127" s="1"/>
  <c r="O127" s="1"/>
  <c r="K128"/>
  <c r="M128" s="1"/>
  <c r="O128" s="1"/>
  <c r="K129"/>
  <c r="M129" s="1"/>
  <c r="O129" s="1"/>
  <c r="K130"/>
  <c r="M130" s="1"/>
  <c r="O130" s="1"/>
  <c r="K131"/>
  <c r="M131" s="1"/>
  <c r="O131" s="1"/>
  <c r="K132"/>
  <c r="M132" s="1"/>
  <c r="O132" s="1"/>
  <c r="K114"/>
  <c r="M114" s="1"/>
  <c r="O114" s="1"/>
  <c r="K115"/>
  <c r="M115" s="1"/>
  <c r="O115" s="1"/>
  <c r="K84"/>
  <c r="M84" s="1"/>
  <c r="O84" s="1"/>
  <c r="K85"/>
  <c r="M85" s="1"/>
  <c r="O85" s="1"/>
  <c r="K86"/>
  <c r="M86" s="1"/>
  <c r="O86" s="1"/>
  <c r="K87"/>
  <c r="M87" s="1"/>
  <c r="O87" s="1"/>
  <c r="K88"/>
  <c r="M88" s="1"/>
  <c r="O88" s="1"/>
  <c r="K89"/>
  <c r="M89" s="1"/>
  <c r="O89" s="1"/>
  <c r="K90"/>
  <c r="M90" s="1"/>
  <c r="O90" s="1"/>
  <c r="P90" s="1"/>
  <c r="K91"/>
  <c r="M91" s="1"/>
  <c r="O91" s="1"/>
  <c r="K92"/>
  <c r="M92" s="1"/>
  <c r="O92" s="1"/>
  <c r="K93"/>
  <c r="M93" s="1"/>
  <c r="O93" s="1"/>
  <c r="K94"/>
  <c r="M94" s="1"/>
  <c r="O94" s="1"/>
  <c r="K95"/>
  <c r="M95" s="1"/>
  <c r="O95" s="1"/>
  <c r="K96"/>
  <c r="M96" s="1"/>
  <c r="O96" s="1"/>
  <c r="K97"/>
  <c r="M97" s="1"/>
  <c r="O97" s="1"/>
  <c r="K98"/>
  <c r="M98" s="1"/>
  <c r="O98" s="1"/>
  <c r="K99"/>
  <c r="M99" s="1"/>
  <c r="O99" s="1"/>
  <c r="K100"/>
  <c r="M100" s="1"/>
  <c r="O100" s="1"/>
  <c r="K101"/>
  <c r="M101" s="1"/>
  <c r="O101" s="1"/>
  <c r="K102"/>
  <c r="M102" s="1"/>
  <c r="O102" s="1"/>
  <c r="K103"/>
  <c r="M103" s="1"/>
  <c r="O103" s="1"/>
  <c r="K104"/>
  <c r="M104" s="1"/>
  <c r="O104" s="1"/>
  <c r="P104" s="1"/>
  <c r="K105"/>
  <c r="M105" s="1"/>
  <c r="O105" s="1"/>
  <c r="K106"/>
  <c r="M106" s="1"/>
  <c r="O106" s="1"/>
  <c r="P106" s="1"/>
  <c r="K107"/>
  <c r="M107" s="1"/>
  <c r="O107" s="1"/>
  <c r="K108"/>
  <c r="M108" s="1"/>
  <c r="O108" s="1"/>
  <c r="K109"/>
  <c r="M109" s="1"/>
  <c r="O109" s="1"/>
  <c r="K110"/>
  <c r="M110" s="1"/>
  <c r="O110" s="1"/>
  <c r="K111"/>
  <c r="M111" s="1"/>
  <c r="O111" s="1"/>
  <c r="K112"/>
  <c r="M112" s="1"/>
  <c r="O112" s="1"/>
  <c r="K113"/>
  <c r="M113" s="1"/>
  <c r="O113" s="1"/>
  <c r="K116"/>
  <c r="M116" s="1"/>
  <c r="O116" s="1"/>
  <c r="K117"/>
  <c r="M117" s="1"/>
  <c r="O117" s="1"/>
  <c r="K118"/>
  <c r="M118" s="1"/>
  <c r="O118" s="1"/>
  <c r="P118" s="1"/>
  <c r="K119"/>
  <c r="M119" s="1"/>
  <c r="O119" s="1"/>
  <c r="K135"/>
  <c r="M135" s="1"/>
  <c r="O135" s="1"/>
  <c r="K136"/>
  <c r="M136" s="1"/>
  <c r="O136" s="1"/>
  <c r="K134"/>
  <c r="M134" s="1"/>
  <c r="O134" s="1"/>
  <c r="P134" s="1"/>
  <c r="K120"/>
  <c r="M120" s="1"/>
  <c r="K121"/>
  <c r="M121" s="1"/>
  <c r="O121" s="1"/>
  <c r="K122"/>
  <c r="M122" s="1"/>
  <c r="O122" s="1"/>
  <c r="K123"/>
  <c r="M123" s="1"/>
  <c r="O123" s="1"/>
  <c r="K124"/>
  <c r="M124" s="1"/>
  <c r="O124" s="1"/>
  <c r="K125"/>
  <c r="M125" s="1"/>
  <c r="O125" s="1"/>
  <c r="K133"/>
  <c r="M133" s="1"/>
  <c r="O133" s="1"/>
  <c r="K137"/>
  <c r="M137" s="1"/>
  <c r="O137" s="1"/>
  <c r="K126"/>
  <c r="M126" s="1"/>
  <c r="O126" s="1"/>
  <c r="K79"/>
  <c r="M79" s="1"/>
  <c r="O79" s="1"/>
  <c r="K80"/>
  <c r="M80" s="1"/>
  <c r="O80" s="1"/>
  <c r="K81"/>
  <c r="M81" s="1"/>
  <c r="O81" s="1"/>
  <c r="K82"/>
  <c r="M82" s="1"/>
  <c r="O82" s="1"/>
  <c r="K78"/>
  <c r="M78" s="1"/>
  <c r="K51"/>
  <c r="K52"/>
  <c r="K53"/>
  <c r="L53" s="1"/>
  <c r="M53" s="1"/>
  <c r="O53" s="1"/>
  <c r="K54"/>
  <c r="L54" s="1"/>
  <c r="M54" s="1"/>
  <c r="O54" s="1"/>
  <c r="K55"/>
  <c r="K56"/>
  <c r="K57"/>
  <c r="L57" s="1"/>
  <c r="M57" s="1"/>
  <c r="O57" s="1"/>
  <c r="K58"/>
  <c r="L58" s="1"/>
  <c r="M58" s="1"/>
  <c r="O58" s="1"/>
  <c r="K59"/>
  <c r="K60"/>
  <c r="K61"/>
  <c r="L61" s="1"/>
  <c r="M61" s="1"/>
  <c r="O61" s="1"/>
  <c r="K62"/>
  <c r="L62" s="1"/>
  <c r="K63"/>
  <c r="K64"/>
  <c r="K65"/>
  <c r="L65" s="1"/>
  <c r="K66"/>
  <c r="K67"/>
  <c r="K68"/>
  <c r="L68" s="1"/>
  <c r="M68" s="1"/>
  <c r="O68" s="1"/>
  <c r="K69"/>
  <c r="L69" s="1"/>
  <c r="K70"/>
  <c r="K71"/>
  <c r="K72"/>
  <c r="K73"/>
  <c r="L73" s="1"/>
  <c r="K74"/>
  <c r="K75"/>
  <c r="K76"/>
  <c r="M76" s="1"/>
  <c r="O76" s="1"/>
  <c r="K50"/>
  <c r="L50" s="1"/>
  <c r="K23"/>
  <c r="K24"/>
  <c r="K25"/>
  <c r="L25" s="1"/>
  <c r="M25" s="1"/>
  <c r="O25" s="1"/>
  <c r="K26"/>
  <c r="L26" s="1"/>
  <c r="M26" s="1"/>
  <c r="O26" s="1"/>
  <c r="K27"/>
  <c r="K28"/>
  <c r="K29"/>
  <c r="L29" s="1"/>
  <c r="M29" s="1"/>
  <c r="O29" s="1"/>
  <c r="K30"/>
  <c r="L30" s="1"/>
  <c r="M30" s="1"/>
  <c r="O30" s="1"/>
  <c r="K31"/>
  <c r="K32"/>
  <c r="K33"/>
  <c r="L33" s="1"/>
  <c r="M33" s="1"/>
  <c r="O33" s="1"/>
  <c r="K34"/>
  <c r="L34" s="1"/>
  <c r="K35"/>
  <c r="K36"/>
  <c r="K37"/>
  <c r="L37" s="1"/>
  <c r="M37" s="1"/>
  <c r="O37" s="1"/>
  <c r="K38"/>
  <c r="K39"/>
  <c r="L39" s="1"/>
  <c r="K40"/>
  <c r="K41"/>
  <c r="L41" s="1"/>
  <c r="M41" s="1"/>
  <c r="O41" s="1"/>
  <c r="K42"/>
  <c r="K43"/>
  <c r="L43" s="1"/>
  <c r="K44"/>
  <c r="K45"/>
  <c r="L45" s="1"/>
  <c r="M45" s="1"/>
  <c r="O45" s="1"/>
  <c r="K46"/>
  <c r="L46" s="1"/>
  <c r="M46" s="1"/>
  <c r="O46" s="1"/>
  <c r="K47"/>
  <c r="L47" s="1"/>
  <c r="K48"/>
  <c r="K22"/>
  <c r="L22" s="1"/>
  <c r="K14"/>
  <c r="K15"/>
  <c r="K16"/>
  <c r="L16" s="1"/>
  <c r="M16" s="1"/>
  <c r="O16" s="1"/>
  <c r="K17"/>
  <c r="L17" s="1"/>
  <c r="M17" s="1"/>
  <c r="O17" s="1"/>
  <c r="K18"/>
  <c r="K19"/>
  <c r="K20"/>
  <c r="M20" s="1"/>
  <c r="O20" s="1"/>
  <c r="K13"/>
  <c r="L13" s="1"/>
  <c r="AQ19" i="18" l="1"/>
  <c r="AR19" s="1"/>
  <c r="AQ15"/>
  <c r="AR15" s="1"/>
  <c r="U15" i="19"/>
  <c r="AG15"/>
  <c r="T18"/>
  <c r="AG16"/>
  <c r="U16"/>
  <c r="V16"/>
  <c r="S18"/>
  <c r="AG17"/>
  <c r="U17"/>
  <c r="V17"/>
  <c r="U16" i="18"/>
  <c r="AM16"/>
  <c r="AG16"/>
  <c r="V16"/>
  <c r="AG17"/>
  <c r="V17"/>
  <c r="AM17"/>
  <c r="U17"/>
  <c r="U20"/>
  <c r="AG20"/>
  <c r="V20"/>
  <c r="AG13" i="17"/>
  <c r="V13"/>
  <c r="AO13"/>
  <c r="U13"/>
  <c r="S18" i="18"/>
  <c r="S14"/>
  <c r="AG14" i="17"/>
  <c r="U14"/>
  <c r="AN14"/>
  <c r="V14"/>
  <c r="S15"/>
  <c r="T15" s="1"/>
  <c r="O12" i="16"/>
  <c r="S14" i="15"/>
  <c r="T14" s="1"/>
  <c r="O12" i="14"/>
  <c r="P12"/>
  <c r="Q12"/>
  <c r="P12" i="13"/>
  <c r="Q12"/>
  <c r="R16" i="12"/>
  <c r="T15"/>
  <c r="U15" s="1"/>
  <c r="S14"/>
  <c r="T14" s="1"/>
  <c r="AG14" s="1"/>
  <c r="N16"/>
  <c r="P16"/>
  <c r="V15"/>
  <c r="P33" i="2"/>
  <c r="AD33" s="1"/>
  <c r="AE33" s="1"/>
  <c r="Q33"/>
  <c r="Q46"/>
  <c r="Q26"/>
  <c r="P61"/>
  <c r="Q61"/>
  <c r="AD61" s="1"/>
  <c r="AE61" s="1"/>
  <c r="P57"/>
  <c r="Q57"/>
  <c r="AD57"/>
  <c r="P53"/>
  <c r="AD53" s="1"/>
  <c r="AE53" s="1"/>
  <c r="Q53"/>
  <c r="Q82"/>
  <c r="P82"/>
  <c r="Q126"/>
  <c r="Q119"/>
  <c r="P119"/>
  <c r="Q113"/>
  <c r="P113"/>
  <c r="Q109"/>
  <c r="P109"/>
  <c r="Q105"/>
  <c r="P105"/>
  <c r="Q101"/>
  <c r="P101"/>
  <c r="Q97"/>
  <c r="Q93"/>
  <c r="Q89"/>
  <c r="Q85"/>
  <c r="P132"/>
  <c r="AD132" s="1"/>
  <c r="AE132" s="1"/>
  <c r="Q132"/>
  <c r="P128"/>
  <c r="AD128"/>
  <c r="Q128"/>
  <c r="P26"/>
  <c r="AD26" s="1"/>
  <c r="AE26" s="1"/>
  <c r="P85"/>
  <c r="AD85" s="1"/>
  <c r="AE85" s="1"/>
  <c r="P126"/>
  <c r="AD126" s="1"/>
  <c r="AE126" s="1"/>
  <c r="Q45"/>
  <c r="AD45" s="1"/>
  <c r="AE45" s="1"/>
  <c r="P45"/>
  <c r="Q58"/>
  <c r="P58"/>
  <c r="AD58" s="1"/>
  <c r="AE58" s="1"/>
  <c r="Q54"/>
  <c r="P54"/>
  <c r="AD54" s="1"/>
  <c r="AE54" s="1"/>
  <c r="O78"/>
  <c r="M83"/>
  <c r="Q79"/>
  <c r="Q135"/>
  <c r="P135"/>
  <c r="P116"/>
  <c r="Q116"/>
  <c r="AD116"/>
  <c r="Q110"/>
  <c r="Q106"/>
  <c r="Q102"/>
  <c r="Q98"/>
  <c r="Q94"/>
  <c r="Q90"/>
  <c r="Q86"/>
  <c r="AD86"/>
  <c r="P86"/>
  <c r="Q114"/>
  <c r="Q129"/>
  <c r="P129"/>
  <c r="AD129" s="1"/>
  <c r="AE129" s="1"/>
  <c r="K21"/>
  <c r="P46"/>
  <c r="AD46" s="1"/>
  <c r="AE46" s="1"/>
  <c r="P97"/>
  <c r="P102"/>
  <c r="Q17"/>
  <c r="Q37"/>
  <c r="P37"/>
  <c r="AD37" s="1"/>
  <c r="AE37" s="1"/>
  <c r="P20"/>
  <c r="AD20" s="1"/>
  <c r="AE20" s="1"/>
  <c r="Q20"/>
  <c r="P16"/>
  <c r="Q16"/>
  <c r="Q80"/>
  <c r="P80"/>
  <c r="Q133"/>
  <c r="AD133"/>
  <c r="P133"/>
  <c r="P136"/>
  <c r="Q136"/>
  <c r="Q117"/>
  <c r="P117"/>
  <c r="Q111"/>
  <c r="P111"/>
  <c r="Q107"/>
  <c r="P107"/>
  <c r="Q103"/>
  <c r="P103"/>
  <c r="Q99"/>
  <c r="P99"/>
  <c r="P95"/>
  <c r="Q95"/>
  <c r="Q91"/>
  <c r="P91"/>
  <c r="Q87"/>
  <c r="P87"/>
  <c r="AD87"/>
  <c r="Q115"/>
  <c r="P115"/>
  <c r="AD115" s="1"/>
  <c r="AE115" s="1"/>
  <c r="Q130"/>
  <c r="P93"/>
  <c r="P98"/>
  <c r="P114"/>
  <c r="AD114" s="1"/>
  <c r="AE114" s="1"/>
  <c r="Q41"/>
  <c r="P41"/>
  <c r="AD41" s="1"/>
  <c r="AE41" s="1"/>
  <c r="P25"/>
  <c r="AD25" s="1"/>
  <c r="AE25" s="1"/>
  <c r="Q25"/>
  <c r="P76"/>
  <c r="AD76"/>
  <c r="Q76"/>
  <c r="Q68"/>
  <c r="P68"/>
  <c r="AD68" s="1"/>
  <c r="AE68" s="1"/>
  <c r="P81"/>
  <c r="Q81"/>
  <c r="Q137"/>
  <c r="P137"/>
  <c r="AD137" s="1"/>
  <c r="AE137" s="1"/>
  <c r="Q134"/>
  <c r="Q118"/>
  <c r="P112"/>
  <c r="Q112"/>
  <c r="P108"/>
  <c r="Q108"/>
  <c r="Q104"/>
  <c r="P100"/>
  <c r="Q100"/>
  <c r="P96"/>
  <c r="Q96"/>
  <c r="P92"/>
  <c r="Q92"/>
  <c r="P88"/>
  <c r="AD88" s="1"/>
  <c r="AE88" s="1"/>
  <c r="Q88"/>
  <c r="P84"/>
  <c r="Q84"/>
  <c r="AD84" s="1"/>
  <c r="Q131"/>
  <c r="P131"/>
  <c r="AD131" s="1"/>
  <c r="AE131" s="1"/>
  <c r="Q127"/>
  <c r="AD127"/>
  <c r="P127"/>
  <c r="P17"/>
  <c r="P79"/>
  <c r="AD79" s="1"/>
  <c r="P89"/>
  <c r="AD89" s="1"/>
  <c r="AE89" s="1"/>
  <c r="P94"/>
  <c r="P110"/>
  <c r="P130"/>
  <c r="AD130" s="1"/>
  <c r="AE130" s="1"/>
  <c r="V133" i="1"/>
  <c r="U133"/>
  <c r="V149"/>
  <c r="U149"/>
  <c r="U136"/>
  <c r="V136"/>
  <c r="U152"/>
  <c r="V152"/>
  <c r="V145"/>
  <c r="U145"/>
  <c r="U132"/>
  <c r="V132"/>
  <c r="U148"/>
  <c r="V148"/>
  <c r="V141"/>
  <c r="U141"/>
  <c r="U144"/>
  <c r="V144"/>
  <c r="V137"/>
  <c r="U137"/>
  <c r="V153"/>
  <c r="U153"/>
  <c r="U140"/>
  <c r="V140"/>
  <c r="U156"/>
  <c r="V156"/>
  <c r="V157"/>
  <c r="U157"/>
  <c r="U101"/>
  <c r="V71"/>
  <c r="U71"/>
  <c r="V87"/>
  <c r="U87"/>
  <c r="U74"/>
  <c r="V74"/>
  <c r="U90"/>
  <c r="V90"/>
  <c r="V83"/>
  <c r="U83"/>
  <c r="U70"/>
  <c r="V70"/>
  <c r="U86"/>
  <c r="V86"/>
  <c r="V79"/>
  <c r="U79"/>
  <c r="V95"/>
  <c r="U95"/>
  <c r="U82"/>
  <c r="V82"/>
  <c r="U98"/>
  <c r="V98"/>
  <c r="V75"/>
  <c r="U75"/>
  <c r="V91"/>
  <c r="U91"/>
  <c r="U78"/>
  <c r="V78"/>
  <c r="U94"/>
  <c r="V94"/>
  <c r="U69"/>
  <c r="V69"/>
  <c r="V37"/>
  <c r="U37"/>
  <c r="V53"/>
  <c r="U53"/>
  <c r="U24"/>
  <c r="V24"/>
  <c r="U36"/>
  <c r="V36"/>
  <c r="U60"/>
  <c r="V60"/>
  <c r="V33"/>
  <c r="U33"/>
  <c r="V49"/>
  <c r="U49"/>
  <c r="V65"/>
  <c r="U65"/>
  <c r="U56"/>
  <c r="V56"/>
  <c r="V59"/>
  <c r="U59"/>
  <c r="V29"/>
  <c r="U29"/>
  <c r="V45"/>
  <c r="U45"/>
  <c r="V61"/>
  <c r="U61"/>
  <c r="U32"/>
  <c r="V32"/>
  <c r="U40"/>
  <c r="V40"/>
  <c r="V25"/>
  <c r="U25"/>
  <c r="V41"/>
  <c r="U41"/>
  <c r="V57"/>
  <c r="U57"/>
  <c r="U28"/>
  <c r="V28"/>
  <c r="V50"/>
  <c r="U50"/>
  <c r="V46"/>
  <c r="U46"/>
  <c r="V58"/>
  <c r="U58"/>
  <c r="V42"/>
  <c r="U42"/>
  <c r="V66"/>
  <c r="U66"/>
  <c r="V54"/>
  <c r="U54"/>
  <c r="V62"/>
  <c r="U62"/>
  <c r="V55"/>
  <c r="U55"/>
  <c r="P125" i="2"/>
  <c r="Q125"/>
  <c r="P121"/>
  <c r="Q121"/>
  <c r="Q122"/>
  <c r="Q123"/>
  <c r="P123"/>
  <c r="P124"/>
  <c r="Q124"/>
  <c r="P122"/>
  <c r="O120"/>
  <c r="M138"/>
  <c r="AE35" i="11"/>
  <c r="AF35" s="1"/>
  <c r="Q35"/>
  <c r="R35"/>
  <c r="AB35"/>
  <c r="Q65"/>
  <c r="AE65" s="1"/>
  <c r="AF65" s="1"/>
  <c r="R65"/>
  <c r="Q47"/>
  <c r="AE47" s="1"/>
  <c r="AF47" s="1"/>
  <c r="R47"/>
  <c r="Z47"/>
  <c r="Q36"/>
  <c r="R36"/>
  <c r="AE36" s="1"/>
  <c r="AF36" s="1"/>
  <c r="Q48"/>
  <c r="R48"/>
  <c r="AE48"/>
  <c r="AF48" s="1"/>
  <c r="Q31"/>
  <c r="AE31" s="1"/>
  <c r="AF31" s="1"/>
  <c r="R31"/>
  <c r="Q61"/>
  <c r="AE61" s="1"/>
  <c r="AF61" s="1"/>
  <c r="R61"/>
  <c r="Q53"/>
  <c r="R53"/>
  <c r="AE53" s="1"/>
  <c r="AF53" s="1"/>
  <c r="Q42"/>
  <c r="R42"/>
  <c r="AE42"/>
  <c r="AF42" s="1"/>
  <c r="AE72"/>
  <c r="AF72" s="1"/>
  <c r="Q72"/>
  <c r="R72"/>
  <c r="AE56"/>
  <c r="AF56" s="1"/>
  <c r="Q56"/>
  <c r="R56"/>
  <c r="R63"/>
  <c r="AE63"/>
  <c r="AF63" s="1"/>
  <c r="Q63"/>
  <c r="R39"/>
  <c r="AB39"/>
  <c r="AE39"/>
  <c r="AF39" s="1"/>
  <c r="Q39"/>
  <c r="R19"/>
  <c r="AD19"/>
  <c r="AE19"/>
  <c r="AF19" s="1"/>
  <c r="Q19"/>
  <c r="R15"/>
  <c r="AD15"/>
  <c r="AE15"/>
  <c r="AF15" s="1"/>
  <c r="Q15"/>
  <c r="Q66"/>
  <c r="R66"/>
  <c r="AE66"/>
  <c r="AF66" s="1"/>
  <c r="Q58"/>
  <c r="R58"/>
  <c r="AE58"/>
  <c r="AF58" s="1"/>
  <c r="Q32"/>
  <c r="AE32" s="1"/>
  <c r="AF32" s="1"/>
  <c r="R32"/>
  <c r="N22"/>
  <c r="M49"/>
  <c r="M12" s="1"/>
  <c r="Q57"/>
  <c r="R57"/>
  <c r="AE57"/>
  <c r="AF57" s="1"/>
  <c r="N50"/>
  <c r="Q83"/>
  <c r="Z49"/>
  <c r="Z12" s="1"/>
  <c r="Q60"/>
  <c r="AE60" s="1"/>
  <c r="AF60" s="1"/>
  <c r="R60"/>
  <c r="R67"/>
  <c r="Q67"/>
  <c r="AE67" s="1"/>
  <c r="AF67" s="1"/>
  <c r="R51"/>
  <c r="AE51"/>
  <c r="AF51" s="1"/>
  <c r="Q51"/>
  <c r="R40"/>
  <c r="Q40"/>
  <c r="AE40" s="1"/>
  <c r="AF40" s="1"/>
  <c r="R26"/>
  <c r="AE26"/>
  <c r="AF26" s="1"/>
  <c r="Q26"/>
  <c r="R16"/>
  <c r="AD16"/>
  <c r="AE16"/>
  <c r="AF16" s="1"/>
  <c r="Q16"/>
  <c r="Q43"/>
  <c r="R43"/>
  <c r="AE43"/>
  <c r="AF43" s="1"/>
  <c r="Q24"/>
  <c r="R24"/>
  <c r="AA24"/>
  <c r="AE24"/>
  <c r="AF24" s="1"/>
  <c r="R83"/>
  <c r="AE27"/>
  <c r="AF27" s="1"/>
  <c r="Q84"/>
  <c r="Q138" s="1"/>
  <c r="N138"/>
  <c r="R84"/>
  <c r="R138" s="1"/>
  <c r="Q64"/>
  <c r="AE64" s="1"/>
  <c r="AF64" s="1"/>
  <c r="R64"/>
  <c r="Q41"/>
  <c r="R41"/>
  <c r="AE41" s="1"/>
  <c r="AF41" s="1"/>
  <c r="R55"/>
  <c r="AE55"/>
  <c r="AF55" s="1"/>
  <c r="Q55"/>
  <c r="R44"/>
  <c r="AE44" s="1"/>
  <c r="AF44" s="1"/>
  <c r="AA44"/>
  <c r="Q44"/>
  <c r="R29"/>
  <c r="Q29"/>
  <c r="AE29" s="1"/>
  <c r="AF29" s="1"/>
  <c r="R17"/>
  <c r="AD17"/>
  <c r="Q17"/>
  <c r="AE17" s="1"/>
  <c r="AF17" s="1"/>
  <c r="Q62"/>
  <c r="R62"/>
  <c r="AE62" s="1"/>
  <c r="AF62" s="1"/>
  <c r="Q54"/>
  <c r="R54"/>
  <c r="AE54"/>
  <c r="AF54" s="1"/>
  <c r="Q25"/>
  <c r="AE25" s="1"/>
  <c r="AF25" s="1"/>
  <c r="R25"/>
  <c r="Q13"/>
  <c r="Q21" s="1"/>
  <c r="N21"/>
  <c r="R13"/>
  <c r="AE68"/>
  <c r="AF68" s="1"/>
  <c r="Q68"/>
  <c r="R68"/>
  <c r="Q52"/>
  <c r="AE52" s="1"/>
  <c r="AF52" s="1"/>
  <c r="R52"/>
  <c r="R59"/>
  <c r="Q59"/>
  <c r="AE59" s="1"/>
  <c r="AF59" s="1"/>
  <c r="R45"/>
  <c r="AE45"/>
  <c r="AF45" s="1"/>
  <c r="Q45"/>
  <c r="R38"/>
  <c r="AE38" s="1"/>
  <c r="AF38" s="1"/>
  <c r="AA38"/>
  <c r="Q38"/>
  <c r="R18"/>
  <c r="AE18" s="1"/>
  <c r="AF18" s="1"/>
  <c r="AD18"/>
  <c r="Q18"/>
  <c r="R14"/>
  <c r="AE14" s="1"/>
  <c r="AF14" s="1"/>
  <c r="AD14"/>
  <c r="Q14"/>
  <c r="Q37"/>
  <c r="AE37" s="1"/>
  <c r="AF37" s="1"/>
  <c r="R37"/>
  <c r="L12"/>
  <c r="AE78"/>
  <c r="Q30" i="2"/>
  <c r="M13"/>
  <c r="L42"/>
  <c r="M42" s="1"/>
  <c r="O42" s="1"/>
  <c r="M47"/>
  <c r="O47" s="1"/>
  <c r="M39"/>
  <c r="O39" s="1"/>
  <c r="M34"/>
  <c r="O34" s="1"/>
  <c r="M62"/>
  <c r="O62" s="1"/>
  <c r="L38"/>
  <c r="M38" s="1"/>
  <c r="O38" s="1"/>
  <c r="L35"/>
  <c r="M35" s="1"/>
  <c r="O35" s="1"/>
  <c r="L66"/>
  <c r="M66" s="1"/>
  <c r="O66" s="1"/>
  <c r="M43"/>
  <c r="O43" s="1"/>
  <c r="L31"/>
  <c r="M31" s="1"/>
  <c r="O31" s="1"/>
  <c r="AE127"/>
  <c r="AE128"/>
  <c r="AE116"/>
  <c r="AE86"/>
  <c r="AE133"/>
  <c r="AE87"/>
  <c r="AE76"/>
  <c r="AE57"/>
  <c r="M74"/>
  <c r="O74" s="1"/>
  <c r="M73"/>
  <c r="O73" s="1"/>
  <c r="L70"/>
  <c r="M70" s="1"/>
  <c r="O70" s="1"/>
  <c r="M69"/>
  <c r="O69" s="1"/>
  <c r="M65"/>
  <c r="O65" s="1"/>
  <c r="M75"/>
  <c r="O75" s="1"/>
  <c r="L71"/>
  <c r="M71" s="1"/>
  <c r="O71" s="1"/>
  <c r="L67"/>
  <c r="M67" s="1"/>
  <c r="O67" s="1"/>
  <c r="L63"/>
  <c r="M63" s="1"/>
  <c r="O63" s="1"/>
  <c r="L59"/>
  <c r="M59" s="1"/>
  <c r="O59" s="1"/>
  <c r="L55"/>
  <c r="M55" s="1"/>
  <c r="O55" s="1"/>
  <c r="L51"/>
  <c r="M51" s="1"/>
  <c r="O51" s="1"/>
  <c r="L72"/>
  <c r="M72" s="1"/>
  <c r="O72" s="1"/>
  <c r="L64"/>
  <c r="M64" s="1"/>
  <c r="O64" s="1"/>
  <c r="L60"/>
  <c r="M60" s="1"/>
  <c r="O60" s="1"/>
  <c r="L56"/>
  <c r="M56" s="1"/>
  <c r="O56" s="1"/>
  <c r="L52"/>
  <c r="M52" s="1"/>
  <c r="O52" s="1"/>
  <c r="M50"/>
  <c r="Q29"/>
  <c r="P29"/>
  <c r="AD29" s="1"/>
  <c r="L27"/>
  <c r="M27" s="1"/>
  <c r="O27" s="1"/>
  <c r="L23"/>
  <c r="M23" s="1"/>
  <c r="O23" s="1"/>
  <c r="L48"/>
  <c r="M48" s="1"/>
  <c r="O48" s="1"/>
  <c r="L44"/>
  <c r="M44" s="1"/>
  <c r="O44" s="1"/>
  <c r="L40"/>
  <c r="M40" s="1"/>
  <c r="O40" s="1"/>
  <c r="L36"/>
  <c r="M36" s="1"/>
  <c r="O36" s="1"/>
  <c r="L32"/>
  <c r="P30"/>
  <c r="L28"/>
  <c r="M28" s="1"/>
  <c r="O28" s="1"/>
  <c r="L24"/>
  <c r="M24" s="1"/>
  <c r="O24" s="1"/>
  <c r="M22"/>
  <c r="L18"/>
  <c r="M18" s="1"/>
  <c r="O18" s="1"/>
  <c r="L14"/>
  <c r="M14" s="1"/>
  <c r="O14" s="1"/>
  <c r="L19"/>
  <c r="M19" s="1"/>
  <c r="O19" s="1"/>
  <c r="L15"/>
  <c r="M15" s="1"/>
  <c r="O15" s="1"/>
  <c r="E23" i="10"/>
  <c r="F23"/>
  <c r="G23"/>
  <c r="H23"/>
  <c r="AQ15" i="19" l="1"/>
  <c r="AR15" s="1"/>
  <c r="AQ16" i="18"/>
  <c r="AR16" s="1"/>
  <c r="AQ16" i="19"/>
  <c r="AR16" s="1"/>
  <c r="AQ17"/>
  <c r="AR17" s="1"/>
  <c r="V18"/>
  <c r="AG18"/>
  <c r="U18"/>
  <c r="AQ17" i="18"/>
  <c r="AR17" s="1"/>
  <c r="T14"/>
  <c r="AN14" s="1"/>
  <c r="AQ20"/>
  <c r="AR20" s="1"/>
  <c r="T18"/>
  <c r="V18" s="1"/>
  <c r="AQ13" i="17"/>
  <c r="AR13" s="1"/>
  <c r="AQ14"/>
  <c r="AR14" s="1"/>
  <c r="AM15"/>
  <c r="V15"/>
  <c r="U15"/>
  <c r="AG15"/>
  <c r="P12" i="16"/>
  <c r="Q12"/>
  <c r="U14" i="15"/>
  <c r="AO14"/>
  <c r="V14"/>
  <c r="AG14"/>
  <c r="AD12" i="14"/>
  <c r="AE12" s="1"/>
  <c r="AD12" i="13"/>
  <c r="AE12" s="1"/>
  <c r="AG15" i="12"/>
  <c r="U14"/>
  <c r="AQ14" s="1"/>
  <c r="AR14" s="1"/>
  <c r="V14"/>
  <c r="AQ15"/>
  <c r="AR15" s="1"/>
  <c r="T16"/>
  <c r="S16"/>
  <c r="Q19" i="2"/>
  <c r="P19"/>
  <c r="O22"/>
  <c r="P48"/>
  <c r="AD48" s="1"/>
  <c r="AE48" s="1"/>
  <c r="Q48"/>
  <c r="O50"/>
  <c r="M77"/>
  <c r="Q64"/>
  <c r="P64"/>
  <c r="AD64" s="1"/>
  <c r="Q59"/>
  <c r="AD59" s="1"/>
  <c r="AE59" s="1"/>
  <c r="P59"/>
  <c r="Q75"/>
  <c r="AD75"/>
  <c r="P75"/>
  <c r="P73"/>
  <c r="Q73"/>
  <c r="AD73"/>
  <c r="Q66"/>
  <c r="P66"/>
  <c r="AD66" s="1"/>
  <c r="Q34"/>
  <c r="AD34" s="1"/>
  <c r="AE34" s="1"/>
  <c r="P34"/>
  <c r="M21"/>
  <c r="O13"/>
  <c r="L77"/>
  <c r="P15"/>
  <c r="Q15"/>
  <c r="P44"/>
  <c r="Q44"/>
  <c r="AD44" s="1"/>
  <c r="AE44" s="1"/>
  <c r="Q60"/>
  <c r="P60"/>
  <c r="AD60" s="1"/>
  <c r="Q55"/>
  <c r="AD55" s="1"/>
  <c r="AE55" s="1"/>
  <c r="P55"/>
  <c r="Q71"/>
  <c r="AD71"/>
  <c r="P71"/>
  <c r="Q70"/>
  <c r="P70"/>
  <c r="AD70" s="1"/>
  <c r="Q43"/>
  <c r="P43"/>
  <c r="AD43" s="1"/>
  <c r="AE43" s="1"/>
  <c r="AD62"/>
  <c r="Q62"/>
  <c r="P62"/>
  <c r="Q42"/>
  <c r="AD42"/>
  <c r="P42"/>
  <c r="P78"/>
  <c r="P83" s="1"/>
  <c r="O83"/>
  <c r="Q78"/>
  <c r="AD78" s="1"/>
  <c r="AE78" s="1"/>
  <c r="Q18"/>
  <c r="P18"/>
  <c r="Q28"/>
  <c r="P28"/>
  <c r="AD28" s="1"/>
  <c r="P40"/>
  <c r="AD40" s="1"/>
  <c r="AE40" s="1"/>
  <c r="Q40"/>
  <c r="Q27"/>
  <c r="P27"/>
  <c r="Q56"/>
  <c r="P56"/>
  <c r="AD56" s="1"/>
  <c r="Q51"/>
  <c r="AD51"/>
  <c r="P51"/>
  <c r="Q67"/>
  <c r="P67"/>
  <c r="AD67" s="1"/>
  <c r="AE67" s="1"/>
  <c r="P69"/>
  <c r="Q69"/>
  <c r="AD69" s="1"/>
  <c r="AE69" s="1"/>
  <c r="Q38"/>
  <c r="P38"/>
  <c r="Q47"/>
  <c r="P47"/>
  <c r="AD47" s="1"/>
  <c r="L21"/>
  <c r="L49"/>
  <c r="Q14"/>
  <c r="P14"/>
  <c r="Q24"/>
  <c r="P24"/>
  <c r="P36"/>
  <c r="AD36"/>
  <c r="Q36"/>
  <c r="Q23"/>
  <c r="P23"/>
  <c r="Q52"/>
  <c r="AD52"/>
  <c r="P52"/>
  <c r="Q72"/>
  <c r="P72"/>
  <c r="AD72" s="1"/>
  <c r="Q63"/>
  <c r="AD63"/>
  <c r="P63"/>
  <c r="P65"/>
  <c r="Q65"/>
  <c r="AD65"/>
  <c r="Q74"/>
  <c r="AD74"/>
  <c r="P74"/>
  <c r="Q35"/>
  <c r="P35"/>
  <c r="Q39"/>
  <c r="P39"/>
  <c r="Q83"/>
  <c r="AD30"/>
  <c r="AE30" s="1"/>
  <c r="P120"/>
  <c r="P138" s="1"/>
  <c r="O138"/>
  <c r="Q120"/>
  <c r="Q138" s="1"/>
  <c r="AE84"/>
  <c r="AE29"/>
  <c r="AE79"/>
  <c r="AF78" i="11"/>
  <c r="AF83" s="1"/>
  <c r="AE83"/>
  <c r="Q50"/>
  <c r="Q77" s="1"/>
  <c r="R50"/>
  <c r="R77" s="1"/>
  <c r="N77"/>
  <c r="AE50"/>
  <c r="AD21"/>
  <c r="AD12" s="1"/>
  <c r="N12"/>
  <c r="R21"/>
  <c r="N49"/>
  <c r="Q22"/>
  <c r="Q49" s="1"/>
  <c r="Q12" s="1"/>
  <c r="R22"/>
  <c r="R49" s="1"/>
  <c r="AA22"/>
  <c r="AA49" s="1"/>
  <c r="AA12" s="1"/>
  <c r="AE13"/>
  <c r="AE84"/>
  <c r="AB49"/>
  <c r="AB12" s="1"/>
  <c r="AE42" i="2"/>
  <c r="AE62"/>
  <c r="Z44"/>
  <c r="Q31"/>
  <c r="P31"/>
  <c r="AD31" s="1"/>
  <c r="AE71"/>
  <c r="AE51"/>
  <c r="AE63"/>
  <c r="AE75"/>
  <c r="AE73"/>
  <c r="AE36"/>
  <c r="M32"/>
  <c r="O32" s="1"/>
  <c r="C29" i="4"/>
  <c r="J23" i="1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S102"/>
  <c r="T102" s="1"/>
  <c r="S106"/>
  <c r="T106" s="1"/>
  <c r="S110"/>
  <c r="T110" s="1"/>
  <c r="S114"/>
  <c r="T114" s="1"/>
  <c r="S118"/>
  <c r="T118" s="1"/>
  <c r="S122"/>
  <c r="T122" s="1"/>
  <c r="S126"/>
  <c r="T126" s="1"/>
  <c r="AB23"/>
  <c r="AI23"/>
  <c r="AK23"/>
  <c r="X24"/>
  <c r="X67"/>
  <c r="Z99"/>
  <c r="X101"/>
  <c r="Z101"/>
  <c r="AB101"/>
  <c r="AD101"/>
  <c r="AI101"/>
  <c r="AK101"/>
  <c r="X102"/>
  <c r="Z102"/>
  <c r="AB102"/>
  <c r="AD102"/>
  <c r="AG102"/>
  <c r="AI102"/>
  <c r="AK102"/>
  <c r="AM102"/>
  <c r="X103"/>
  <c r="Z103"/>
  <c r="AB103"/>
  <c r="AD103"/>
  <c r="AI103"/>
  <c r="AK103"/>
  <c r="X104"/>
  <c r="Z104"/>
  <c r="AB104"/>
  <c r="AD104"/>
  <c r="AI104"/>
  <c r="AK104"/>
  <c r="X105"/>
  <c r="Z105"/>
  <c r="AB105"/>
  <c r="AD105"/>
  <c r="AI105"/>
  <c r="AK105"/>
  <c r="X106"/>
  <c r="Z106"/>
  <c r="AB106"/>
  <c r="AD106"/>
  <c r="AG106"/>
  <c r="AI106"/>
  <c r="AK106"/>
  <c r="AM106"/>
  <c r="X107"/>
  <c r="Z107"/>
  <c r="AB107"/>
  <c r="AD107"/>
  <c r="AI107"/>
  <c r="AK107"/>
  <c r="X108"/>
  <c r="Z108"/>
  <c r="AB108"/>
  <c r="AD108"/>
  <c r="AI108"/>
  <c r="AK108"/>
  <c r="X109"/>
  <c r="Z109"/>
  <c r="AB109"/>
  <c r="AD109"/>
  <c r="AI109"/>
  <c r="AK109"/>
  <c r="X110"/>
  <c r="Z110"/>
  <c r="AB110"/>
  <c r="AD110"/>
  <c r="AG110"/>
  <c r="AI110"/>
  <c r="AK110"/>
  <c r="AM110"/>
  <c r="X111"/>
  <c r="Z111"/>
  <c r="AB111"/>
  <c r="AD111"/>
  <c r="AI111"/>
  <c r="AK111"/>
  <c r="X112"/>
  <c r="Z112"/>
  <c r="AB112"/>
  <c r="AD112"/>
  <c r="AI112"/>
  <c r="AK112"/>
  <c r="X113"/>
  <c r="Z113"/>
  <c r="AB113"/>
  <c r="AD113"/>
  <c r="AI113"/>
  <c r="AK113"/>
  <c r="X114"/>
  <c r="Z114"/>
  <c r="AB114"/>
  <c r="AD114"/>
  <c r="AG114"/>
  <c r="AI114"/>
  <c r="AK114"/>
  <c r="AM114"/>
  <c r="X115"/>
  <c r="Z115"/>
  <c r="AB115"/>
  <c r="AD115"/>
  <c r="AI115"/>
  <c r="AK115"/>
  <c r="X116"/>
  <c r="Z116"/>
  <c r="AB116"/>
  <c r="AD116"/>
  <c r="AI116"/>
  <c r="AK116"/>
  <c r="X117"/>
  <c r="Z117"/>
  <c r="AB117"/>
  <c r="AD117"/>
  <c r="AI117"/>
  <c r="AK117"/>
  <c r="X118"/>
  <c r="Z118"/>
  <c r="AB118"/>
  <c r="AD118"/>
  <c r="AG118"/>
  <c r="AI118"/>
  <c r="AK118"/>
  <c r="AM118"/>
  <c r="X119"/>
  <c r="Z119"/>
  <c r="AB119"/>
  <c r="AD119"/>
  <c r="AI119"/>
  <c r="AK119"/>
  <c r="X120"/>
  <c r="Z120"/>
  <c r="AB120"/>
  <c r="AD120"/>
  <c r="AI120"/>
  <c r="AK120"/>
  <c r="X121"/>
  <c r="Z121"/>
  <c r="AB121"/>
  <c r="AD121"/>
  <c r="AI121"/>
  <c r="AK121"/>
  <c r="X122"/>
  <c r="Z122"/>
  <c r="AB122"/>
  <c r="AD122"/>
  <c r="AG122"/>
  <c r="AI122"/>
  <c r="AK122"/>
  <c r="AM122"/>
  <c r="X123"/>
  <c r="Z123"/>
  <c r="AB123"/>
  <c r="AD123"/>
  <c r="AI123"/>
  <c r="AK123"/>
  <c r="X124"/>
  <c r="Z124"/>
  <c r="AB124"/>
  <c r="AD124"/>
  <c r="AI124"/>
  <c r="AK124"/>
  <c r="X125"/>
  <c r="Z125"/>
  <c r="AB125"/>
  <c r="AD125"/>
  <c r="AI125"/>
  <c r="AK125"/>
  <c r="X126"/>
  <c r="Z126"/>
  <c r="AB126"/>
  <c r="AD126"/>
  <c r="AG126"/>
  <c r="AI126"/>
  <c r="AK126"/>
  <c r="AM126"/>
  <c r="X127"/>
  <c r="Z127"/>
  <c r="AB127"/>
  <c r="AD127"/>
  <c r="AI127"/>
  <c r="AK127"/>
  <c r="X128"/>
  <c r="Z128"/>
  <c r="AB128"/>
  <c r="AD128"/>
  <c r="AI128"/>
  <c r="AK128"/>
  <c r="X129"/>
  <c r="Z129"/>
  <c r="AB129"/>
  <c r="AD129"/>
  <c r="AI129"/>
  <c r="AK129"/>
  <c r="Y47" i="2"/>
  <c r="C60" i="4"/>
  <c r="D59"/>
  <c r="M59" s="1"/>
  <c r="C59"/>
  <c r="R120" i="2"/>
  <c r="R121"/>
  <c r="R122"/>
  <c r="R123"/>
  <c r="R124"/>
  <c r="R125"/>
  <c r="C58" i="4"/>
  <c r="R90" i="2"/>
  <c r="R91"/>
  <c r="R92"/>
  <c r="AD92" s="1"/>
  <c r="R93"/>
  <c r="R94"/>
  <c r="R95"/>
  <c r="R96"/>
  <c r="AD96" s="1"/>
  <c r="R97"/>
  <c r="R98"/>
  <c r="R99"/>
  <c r="AD99" s="1"/>
  <c r="R100"/>
  <c r="R101"/>
  <c r="R102"/>
  <c r="R103"/>
  <c r="R104"/>
  <c r="R105"/>
  <c r="R106"/>
  <c r="R107"/>
  <c r="AD107" s="1"/>
  <c r="R108"/>
  <c r="AD108" s="1"/>
  <c r="R109"/>
  <c r="R110"/>
  <c r="AD110" s="1"/>
  <c r="R111"/>
  <c r="R112"/>
  <c r="R113"/>
  <c r="C57" i="4"/>
  <c r="C56"/>
  <c r="D55"/>
  <c r="M55" s="1"/>
  <c r="C55"/>
  <c r="D54"/>
  <c r="R117" i="2"/>
  <c r="R118"/>
  <c r="C54" i="4"/>
  <c r="E53"/>
  <c r="R134" i="2"/>
  <c r="C53" i="4"/>
  <c r="R135" i="2"/>
  <c r="R136"/>
  <c r="AD136" s="1"/>
  <c r="C52" i="4"/>
  <c r="R119" i="2"/>
  <c r="AD119" s="1"/>
  <c r="C51" i="4"/>
  <c r="C50"/>
  <c r="C49"/>
  <c r="D48"/>
  <c r="M48" s="1"/>
  <c r="C48"/>
  <c r="C47"/>
  <c r="C46"/>
  <c r="D44"/>
  <c r="M44" s="1"/>
  <c r="C44"/>
  <c r="R81" i="2"/>
  <c r="R82"/>
  <c r="AD82" s="1"/>
  <c r="C43" i="4"/>
  <c r="R80" i="2"/>
  <c r="C42" i="4"/>
  <c r="C41"/>
  <c r="C39"/>
  <c r="C38"/>
  <c r="C37"/>
  <c r="C36"/>
  <c r="C35"/>
  <c r="C33"/>
  <c r="C25"/>
  <c r="C31"/>
  <c r="C30"/>
  <c r="C28"/>
  <c r="C27"/>
  <c r="C26"/>
  <c r="C24"/>
  <c r="C23"/>
  <c r="C22"/>
  <c r="C21"/>
  <c r="C19"/>
  <c r="C18"/>
  <c r="C17"/>
  <c r="C16"/>
  <c r="C15"/>
  <c r="K131" i="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L131"/>
  <c r="L132"/>
  <c r="L133"/>
  <c r="L134"/>
  <c r="L135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J130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4"/>
  <c r="K95"/>
  <c r="K96"/>
  <c r="K97"/>
  <c r="K98"/>
  <c r="K99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J100"/>
  <c r="J68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AD22"/>
  <c r="AI22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01"/>
  <c r="L122"/>
  <c r="L123"/>
  <c r="L124"/>
  <c r="L125"/>
  <c r="L126"/>
  <c r="L127"/>
  <c r="L128"/>
  <c r="L129"/>
  <c r="H22" i="9"/>
  <c r="G22"/>
  <c r="F22"/>
  <c r="E22"/>
  <c r="O87" i="7"/>
  <c r="N87"/>
  <c r="M87"/>
  <c r="L87"/>
  <c r="K87"/>
  <c r="J87"/>
  <c r="I87"/>
  <c r="H87"/>
  <c r="G87"/>
  <c r="F87"/>
  <c r="E87"/>
  <c r="D87"/>
  <c r="F46" i="3"/>
  <c r="E46"/>
  <c r="D76" i="5"/>
  <c r="C76"/>
  <c r="D49"/>
  <c r="C49"/>
  <c r="J159" i="1"/>
  <c r="K129"/>
  <c r="K128"/>
  <c r="K127"/>
  <c r="K126"/>
  <c r="K125"/>
  <c r="K124"/>
  <c r="K123"/>
  <c r="K122"/>
  <c r="K121"/>
  <c r="K101"/>
  <c r="K102"/>
  <c r="K103"/>
  <c r="K104"/>
  <c r="K105"/>
  <c r="K106"/>
  <c r="K107"/>
  <c r="K108"/>
  <c r="K109"/>
  <c r="K110"/>
  <c r="K111"/>
  <c r="K112"/>
  <c r="K113"/>
  <c r="K114"/>
  <c r="K115"/>
  <c r="K116"/>
  <c r="K120"/>
  <c r="AB22"/>
  <c r="AL22"/>
  <c r="AK22"/>
  <c r="AJ22"/>
  <c r="AH22"/>
  <c r="AF22"/>
  <c r="AE22"/>
  <c r="AC22"/>
  <c r="AA22"/>
  <c r="Z22"/>
  <c r="Y22"/>
  <c r="X22"/>
  <c r="W22"/>
  <c r="Q22"/>
  <c r="O22"/>
  <c r="N22"/>
  <c r="M22"/>
  <c r="J22"/>
  <c r="E138" i="2"/>
  <c r="K138"/>
  <c r="E83"/>
  <c r="E77"/>
  <c r="K83"/>
  <c r="E49"/>
  <c r="K49"/>
  <c r="E21"/>
  <c r="L61" i="4"/>
  <c r="C61"/>
  <c r="L45"/>
  <c r="C45"/>
  <c r="L40"/>
  <c r="K77" i="2"/>
  <c r="C40" i="4"/>
  <c r="L32"/>
  <c r="C32"/>
  <c r="L20"/>
  <c r="L62" s="1"/>
  <c r="C20"/>
  <c r="D22"/>
  <c r="D19"/>
  <c r="S28" i="2"/>
  <c r="S49" s="1"/>
  <c r="S12" s="1"/>
  <c r="Y28"/>
  <c r="E22" i="4"/>
  <c r="R22" i="1"/>
  <c r="AR18" i="19" l="1"/>
  <c r="AQ18"/>
  <c r="U14" i="18"/>
  <c r="V14"/>
  <c r="AG14"/>
  <c r="U18"/>
  <c r="AM18"/>
  <c r="AG18"/>
  <c r="AQ14"/>
  <c r="AQ15" i="17"/>
  <c r="AR15" s="1"/>
  <c r="AD12" i="16"/>
  <c r="AQ14" i="15"/>
  <c r="AR14" s="1"/>
  <c r="AG16" i="12"/>
  <c r="U16"/>
  <c r="V16"/>
  <c r="R83" i="2"/>
  <c r="AD135"/>
  <c r="AE135" s="1"/>
  <c r="AD113"/>
  <c r="AE113" s="1"/>
  <c r="Q13"/>
  <c r="O21"/>
  <c r="P13"/>
  <c r="AD13" s="1"/>
  <c r="AE13" s="1"/>
  <c r="AE101"/>
  <c r="AD101"/>
  <c r="AD81"/>
  <c r="AE81" s="1"/>
  <c r="AE106"/>
  <c r="AD106"/>
  <c r="R138"/>
  <c r="AD90"/>
  <c r="AE90" s="1"/>
  <c r="AE136"/>
  <c r="AE110"/>
  <c r="Q21"/>
  <c r="AD122"/>
  <c r="AE122" s="1"/>
  <c r="AD109"/>
  <c r="AE109" s="1"/>
  <c r="AD80"/>
  <c r="AE80" s="1"/>
  <c r="AE83" s="1"/>
  <c r="AD94"/>
  <c r="AE94" s="1"/>
  <c r="AD93"/>
  <c r="AE93" s="1"/>
  <c r="AD134"/>
  <c r="AE134" s="1"/>
  <c r="AD111"/>
  <c r="AE111" s="1"/>
  <c r="AD91"/>
  <c r="AE91" s="1"/>
  <c r="AD124"/>
  <c r="AE124" s="1"/>
  <c r="P22"/>
  <c r="P49" s="1"/>
  <c r="Q22"/>
  <c r="O49"/>
  <c r="AE82"/>
  <c r="AE107"/>
  <c r="AE99"/>
  <c r="AE47"/>
  <c r="AD123"/>
  <c r="AE123" s="1"/>
  <c r="AD95"/>
  <c r="AE95" s="1"/>
  <c r="AD102"/>
  <c r="AE102" s="1"/>
  <c r="AD117"/>
  <c r="AE117" s="1"/>
  <c r="AD118"/>
  <c r="AE118" s="1"/>
  <c r="AD104"/>
  <c r="AE104" s="1"/>
  <c r="AD100"/>
  <c r="AE100" s="1"/>
  <c r="AD121"/>
  <c r="AE121" s="1"/>
  <c r="P50"/>
  <c r="P77" s="1"/>
  <c r="O77"/>
  <c r="O12" s="1"/>
  <c r="Q50"/>
  <c r="Q77" s="1"/>
  <c r="AE119"/>
  <c r="AE112"/>
  <c r="AE108"/>
  <c r="AE96"/>
  <c r="AE92"/>
  <c r="AE31"/>
  <c r="AD23"/>
  <c r="AE23" s="1"/>
  <c r="P21"/>
  <c r="P12" s="1"/>
  <c r="AD125"/>
  <c r="AE125" s="1"/>
  <c r="M49"/>
  <c r="AD112"/>
  <c r="AD103"/>
  <c r="AE103" s="1"/>
  <c r="AD105"/>
  <c r="AE105" s="1"/>
  <c r="AD98"/>
  <c r="AE98" s="1"/>
  <c r="AD97"/>
  <c r="AE97" s="1"/>
  <c r="P22" i="1"/>
  <c r="U126"/>
  <c r="V126"/>
  <c r="U122"/>
  <c r="V122"/>
  <c r="U118"/>
  <c r="V118"/>
  <c r="U114"/>
  <c r="AQ114" s="1"/>
  <c r="AR114" s="1"/>
  <c r="V114"/>
  <c r="U110"/>
  <c r="V110"/>
  <c r="U106"/>
  <c r="AQ106" s="1"/>
  <c r="AR106" s="1"/>
  <c r="V106"/>
  <c r="U102"/>
  <c r="AQ102" s="1"/>
  <c r="AR102" s="1"/>
  <c r="V102"/>
  <c r="AQ122"/>
  <c r="AR122" s="1"/>
  <c r="S129"/>
  <c r="T129" s="1"/>
  <c r="S125"/>
  <c r="T125" s="1"/>
  <c r="S121"/>
  <c r="T121" s="1"/>
  <c r="S117"/>
  <c r="T117" s="1"/>
  <c r="S113"/>
  <c r="T113" s="1"/>
  <c r="S109"/>
  <c r="T109" s="1"/>
  <c r="S105"/>
  <c r="T105" s="1"/>
  <c r="AQ126"/>
  <c r="AR126" s="1"/>
  <c r="S128"/>
  <c r="T128" s="1"/>
  <c r="S124"/>
  <c r="T124" s="1"/>
  <c r="S120"/>
  <c r="T120" s="1"/>
  <c r="S116"/>
  <c r="T116" s="1"/>
  <c r="S112"/>
  <c r="T112" s="1"/>
  <c r="S108"/>
  <c r="T108" s="1"/>
  <c r="S104"/>
  <c r="T104" s="1"/>
  <c r="AQ118"/>
  <c r="AR118" s="1"/>
  <c r="S127"/>
  <c r="T127" s="1"/>
  <c r="S123"/>
  <c r="T123" s="1"/>
  <c r="S119"/>
  <c r="T119" s="1"/>
  <c r="S115"/>
  <c r="T115" s="1"/>
  <c r="S111"/>
  <c r="T111" s="1"/>
  <c r="S107"/>
  <c r="T107" s="1"/>
  <c r="S103"/>
  <c r="T103" s="1"/>
  <c r="AG101"/>
  <c r="AM101"/>
  <c r="AP24"/>
  <c r="AP22" s="1"/>
  <c r="AE120" i="2"/>
  <c r="AD120"/>
  <c r="AD83"/>
  <c r="AE28"/>
  <c r="AE64"/>
  <c r="AE52"/>
  <c r="AE70"/>
  <c r="AE65"/>
  <c r="AE74"/>
  <c r="AE72"/>
  <c r="AE56"/>
  <c r="AE60"/>
  <c r="AE66"/>
  <c r="AF84" i="11"/>
  <c r="AF138" s="1"/>
  <c r="AE138"/>
  <c r="AE77"/>
  <c r="AF50"/>
  <c r="AF77" s="1"/>
  <c r="R12"/>
  <c r="AE21"/>
  <c r="AF13"/>
  <c r="AF21" s="1"/>
  <c r="AE22"/>
  <c r="E12" i="2"/>
  <c r="Q32"/>
  <c r="P32"/>
  <c r="AD32" s="1"/>
  <c r="D27" i="4"/>
  <c r="E27"/>
  <c r="D34"/>
  <c r="M34" s="1"/>
  <c r="E34"/>
  <c r="D33"/>
  <c r="M33" s="1"/>
  <c r="M22"/>
  <c r="Z38" i="2"/>
  <c r="Z24"/>
  <c r="AD24" s="1"/>
  <c r="AC19"/>
  <c r="AD19" s="1"/>
  <c r="C62" i="4"/>
  <c r="AA39" i="2"/>
  <c r="D41" i="4"/>
  <c r="D43"/>
  <c r="D46"/>
  <c r="E47"/>
  <c r="D47"/>
  <c r="D49"/>
  <c r="E51"/>
  <c r="D51"/>
  <c r="M54"/>
  <c r="E26"/>
  <c r="D26"/>
  <c r="D18"/>
  <c r="E18"/>
  <c r="AC17" i="2"/>
  <c r="E42" i="4"/>
  <c r="D42"/>
  <c r="E56"/>
  <c r="AC14" i="2"/>
  <c r="D16" i="4"/>
  <c r="AA35" i="2"/>
  <c r="D31" i="4"/>
  <c r="D21"/>
  <c r="E21"/>
  <c r="AC16" i="2"/>
  <c r="E50" i="4"/>
  <c r="F22"/>
  <c r="G22" s="1"/>
  <c r="D17"/>
  <c r="AC18" i="2"/>
  <c r="E17" i="4"/>
  <c r="AC15" i="2"/>
  <c r="E37" i="4"/>
  <c r="D37"/>
  <c r="E52"/>
  <c r="D52"/>
  <c r="E57"/>
  <c r="D57"/>
  <c r="D58"/>
  <c r="M58" s="1"/>
  <c r="E58"/>
  <c r="M27"/>
  <c r="E19"/>
  <c r="K12" i="2"/>
  <c r="D53" i="4"/>
  <c r="E33"/>
  <c r="E44"/>
  <c r="E46"/>
  <c r="E48"/>
  <c r="E54"/>
  <c r="E55"/>
  <c r="E59"/>
  <c r="E60"/>
  <c r="D50"/>
  <c r="D56"/>
  <c r="D60"/>
  <c r="AQ18" i="18" l="1"/>
  <c r="AR18" s="1"/>
  <c r="AR14"/>
  <c r="AE12" i="16"/>
  <c r="AQ16" i="12"/>
  <c r="AR16"/>
  <c r="AE138" i="2"/>
  <c r="AD50"/>
  <c r="AE16"/>
  <c r="AD16"/>
  <c r="AE35"/>
  <c r="AA49"/>
  <c r="AA12" s="1"/>
  <c r="AE39"/>
  <c r="AD39"/>
  <c r="AE18"/>
  <c r="R12"/>
  <c r="AD18"/>
  <c r="AE24"/>
  <c r="AD138"/>
  <c r="AD38"/>
  <c r="AE38" s="1"/>
  <c r="AD15"/>
  <c r="AE15" s="1"/>
  <c r="AE14"/>
  <c r="AC21"/>
  <c r="AC12" s="1"/>
  <c r="AD14"/>
  <c r="AD17"/>
  <c r="AE17" s="1"/>
  <c r="Q49"/>
  <c r="Q12" s="1"/>
  <c r="AD35"/>
  <c r="AQ110" i="1"/>
  <c r="AR110" s="1"/>
  <c r="U107"/>
  <c r="V107"/>
  <c r="AG107"/>
  <c r="AM107"/>
  <c r="U123"/>
  <c r="V123"/>
  <c r="AG123"/>
  <c r="AM123"/>
  <c r="U108"/>
  <c r="V108"/>
  <c r="AG108"/>
  <c r="AM108"/>
  <c r="U124"/>
  <c r="V124"/>
  <c r="AG124"/>
  <c r="AM124"/>
  <c r="U109"/>
  <c r="V109"/>
  <c r="AG109"/>
  <c r="AM109"/>
  <c r="AQ109" s="1"/>
  <c r="AR109" s="1"/>
  <c r="U125"/>
  <c r="V125"/>
  <c r="AG125"/>
  <c r="AQ125"/>
  <c r="AR125" s="1"/>
  <c r="AM125"/>
  <c r="U103"/>
  <c r="V103"/>
  <c r="AG103"/>
  <c r="AM103"/>
  <c r="U119"/>
  <c r="V119"/>
  <c r="AM119"/>
  <c r="AQ119" s="1"/>
  <c r="AR119" s="1"/>
  <c r="AG119"/>
  <c r="U104"/>
  <c r="V104"/>
  <c r="AG104"/>
  <c r="AM104"/>
  <c r="U120"/>
  <c r="V120"/>
  <c r="AM120"/>
  <c r="AQ120" s="1"/>
  <c r="AR120" s="1"/>
  <c r="AG120"/>
  <c r="U105"/>
  <c r="V105"/>
  <c r="AG105"/>
  <c r="AM105"/>
  <c r="U121"/>
  <c r="V121"/>
  <c r="AM121"/>
  <c r="AG121"/>
  <c r="U115"/>
  <c r="V115"/>
  <c r="AG115"/>
  <c r="AM115"/>
  <c r="U116"/>
  <c r="V116"/>
  <c r="U117"/>
  <c r="AQ117" s="1"/>
  <c r="AR117" s="1"/>
  <c r="V117"/>
  <c r="AG117"/>
  <c r="AM117"/>
  <c r="U111"/>
  <c r="V111"/>
  <c r="AM111"/>
  <c r="AG111"/>
  <c r="U127"/>
  <c r="V127"/>
  <c r="AG127"/>
  <c r="AM127"/>
  <c r="U112"/>
  <c r="V112"/>
  <c r="AM112"/>
  <c r="AG112"/>
  <c r="U128"/>
  <c r="V128"/>
  <c r="AG128"/>
  <c r="AM128"/>
  <c r="U113"/>
  <c r="V113"/>
  <c r="AM113"/>
  <c r="AG113"/>
  <c r="U129"/>
  <c r="V129"/>
  <c r="AG129"/>
  <c r="AM129"/>
  <c r="AQ101"/>
  <c r="AR101" s="1"/>
  <c r="S22"/>
  <c r="AO22"/>
  <c r="AE50" i="2"/>
  <c r="AE77" s="1"/>
  <c r="AD77"/>
  <c r="AE19"/>
  <c r="AD21"/>
  <c r="AE12" i="11"/>
  <c r="AF22"/>
  <c r="AF49" s="1"/>
  <c r="AF12" s="1"/>
  <c r="AE49"/>
  <c r="M18" i="4"/>
  <c r="D25"/>
  <c r="F18"/>
  <c r="M21"/>
  <c r="D35"/>
  <c r="E24"/>
  <c r="D24"/>
  <c r="Y27" i="2"/>
  <c r="F48" i="4"/>
  <c r="G48" s="1"/>
  <c r="F44"/>
  <c r="G44" s="1"/>
  <c r="D38"/>
  <c r="E38"/>
  <c r="F60"/>
  <c r="G60" s="1"/>
  <c r="F55"/>
  <c r="G55" s="1"/>
  <c r="F37"/>
  <c r="G37" s="1"/>
  <c r="F21"/>
  <c r="G21" s="1"/>
  <c r="D30"/>
  <c r="D39"/>
  <c r="D28"/>
  <c r="F58"/>
  <c r="G58" s="1"/>
  <c r="M19"/>
  <c r="E35"/>
  <c r="F57"/>
  <c r="G57" s="1"/>
  <c r="M57"/>
  <c r="M26"/>
  <c r="F51"/>
  <c r="G51" s="1"/>
  <c r="M51"/>
  <c r="F47"/>
  <c r="G47" s="1"/>
  <c r="M47"/>
  <c r="M43"/>
  <c r="E41"/>
  <c r="F59"/>
  <c r="G59" s="1"/>
  <c r="F19"/>
  <c r="G19" s="1"/>
  <c r="F52"/>
  <c r="G52" s="1"/>
  <c r="M37"/>
  <c r="M17"/>
  <c r="F42"/>
  <c r="G42" s="1"/>
  <c r="I42" s="1"/>
  <c r="M42"/>
  <c r="F26"/>
  <c r="G26" s="1"/>
  <c r="M49"/>
  <c r="M46"/>
  <c r="D61"/>
  <c r="E25"/>
  <c r="F25" s="1"/>
  <c r="G25" s="1"/>
  <c r="E28"/>
  <c r="E39"/>
  <c r="E43"/>
  <c r="F43" s="1"/>
  <c r="M50"/>
  <c r="M56"/>
  <c r="D23"/>
  <c r="Z22" i="2"/>
  <c r="M52" i="4"/>
  <c r="E16"/>
  <c r="M16" s="1"/>
  <c r="F27"/>
  <c r="G27" s="1"/>
  <c r="M60"/>
  <c r="I22"/>
  <c r="H22"/>
  <c r="J22"/>
  <c r="F56"/>
  <c r="G56" s="1"/>
  <c r="F53"/>
  <c r="G53" s="1"/>
  <c r="M53"/>
  <c r="M41"/>
  <c r="M45" s="1"/>
  <c r="F41"/>
  <c r="D45"/>
  <c r="E31"/>
  <c r="M31" s="1"/>
  <c r="E49"/>
  <c r="F49" s="1"/>
  <c r="G49" s="1"/>
  <c r="G18"/>
  <c r="AE27" i="2" l="1"/>
  <c r="Y49"/>
  <c r="Y12" s="1"/>
  <c r="AD27"/>
  <c r="AE21"/>
  <c r="AE22"/>
  <c r="Z49"/>
  <c r="Z12" s="1"/>
  <c r="AD22"/>
  <c r="AQ124" i="1"/>
  <c r="AR124" s="1"/>
  <c r="AQ129"/>
  <c r="AR129" s="1"/>
  <c r="AQ113"/>
  <c r="AR113" s="1"/>
  <c r="AQ112"/>
  <c r="AR112" s="1"/>
  <c r="AQ111"/>
  <c r="AR111" s="1"/>
  <c r="AQ121"/>
  <c r="AR121" s="1"/>
  <c r="AQ128"/>
  <c r="AR128" s="1"/>
  <c r="AQ127"/>
  <c r="AR127" s="1"/>
  <c r="AQ105"/>
  <c r="AR105" s="1"/>
  <c r="AQ104"/>
  <c r="AR104" s="1"/>
  <c r="AQ103"/>
  <c r="AR103" s="1"/>
  <c r="AQ115"/>
  <c r="AR115" s="1"/>
  <c r="AQ108"/>
  <c r="AR108" s="1"/>
  <c r="AQ123"/>
  <c r="AR123" s="1"/>
  <c r="AQ107"/>
  <c r="AR107" s="1"/>
  <c r="AN22"/>
  <c r="J42" i="4"/>
  <c r="H42"/>
  <c r="AE32" i="2"/>
  <c r="AE49" s="1"/>
  <c r="AE12" s="1"/>
  <c r="AD49"/>
  <c r="AD12" s="1"/>
  <c r="M25" i="4"/>
  <c r="L12" i="2"/>
  <c r="F34" i="4"/>
  <c r="G34" s="1"/>
  <c r="K22"/>
  <c r="H26"/>
  <c r="I26"/>
  <c r="J26"/>
  <c r="I25"/>
  <c r="J25"/>
  <c r="H25"/>
  <c r="J49"/>
  <c r="H49"/>
  <c r="I49"/>
  <c r="J56"/>
  <c r="H56"/>
  <c r="I56"/>
  <c r="I19"/>
  <c r="H19"/>
  <c r="J19"/>
  <c r="F28"/>
  <c r="G28" s="1"/>
  <c r="J27"/>
  <c r="H27"/>
  <c r="I27"/>
  <c r="D36"/>
  <c r="F17"/>
  <c r="G17" s="1"/>
  <c r="J47"/>
  <c r="I47"/>
  <c r="H47"/>
  <c r="H57"/>
  <c r="I57"/>
  <c r="J57"/>
  <c r="H58"/>
  <c r="I58"/>
  <c r="J58"/>
  <c r="M39"/>
  <c r="M61"/>
  <c r="E61"/>
  <c r="J60"/>
  <c r="I60"/>
  <c r="H60"/>
  <c r="M28"/>
  <c r="F24"/>
  <c r="F45"/>
  <c r="E45"/>
  <c r="F31"/>
  <c r="G31" s="1"/>
  <c r="M12" i="2"/>
  <c r="D15" i="4"/>
  <c r="F16"/>
  <c r="G16" s="1"/>
  <c r="J52"/>
  <c r="H52"/>
  <c r="I52"/>
  <c r="E23"/>
  <c r="F23" s="1"/>
  <c r="G23" s="1"/>
  <c r="J59"/>
  <c r="H59"/>
  <c r="I59"/>
  <c r="J51"/>
  <c r="H51"/>
  <c r="I51"/>
  <c r="H55"/>
  <c r="J55"/>
  <c r="I55"/>
  <c r="M24"/>
  <c r="G24"/>
  <c r="G41"/>
  <c r="F50"/>
  <c r="G50" s="1"/>
  <c r="G43"/>
  <c r="F39"/>
  <c r="G39" s="1"/>
  <c r="E30"/>
  <c r="F30" s="1"/>
  <c r="I53"/>
  <c r="H53"/>
  <c r="J53"/>
  <c r="F33"/>
  <c r="I48"/>
  <c r="H48"/>
  <c r="J48"/>
  <c r="F54"/>
  <c r="G54" s="1"/>
  <c r="H37"/>
  <c r="J37"/>
  <c r="I37"/>
  <c r="H44"/>
  <c r="I44"/>
  <c r="J44"/>
  <c r="J21"/>
  <c r="H21"/>
  <c r="I21"/>
  <c r="M38"/>
  <c r="F35"/>
  <c r="G35" s="1"/>
  <c r="D40"/>
  <c r="M35"/>
  <c r="M23"/>
  <c r="F46"/>
  <c r="K42"/>
  <c r="H18"/>
  <c r="I18"/>
  <c r="J18"/>
  <c r="AG116" i="1"/>
  <c r="AM116"/>
  <c r="AM22" s="1"/>
  <c r="T22" l="1"/>
  <c r="D29" i="4" s="1"/>
  <c r="D32" s="1"/>
  <c r="AG22" i="1"/>
  <c r="K57" i="4"/>
  <c r="K47"/>
  <c r="M30"/>
  <c r="H34"/>
  <c r="J34"/>
  <c r="I34"/>
  <c r="K48"/>
  <c r="K25"/>
  <c r="K58"/>
  <c r="K60"/>
  <c r="K52"/>
  <c r="K56"/>
  <c r="K21"/>
  <c r="K44"/>
  <c r="K26"/>
  <c r="J35"/>
  <c r="I35"/>
  <c r="H35"/>
  <c r="J39"/>
  <c r="H39"/>
  <c r="I39"/>
  <c r="J16"/>
  <c r="I16"/>
  <c r="H16"/>
  <c r="J23"/>
  <c r="I23"/>
  <c r="H23"/>
  <c r="H41"/>
  <c r="I41"/>
  <c r="J41"/>
  <c r="G45"/>
  <c r="J31"/>
  <c r="I31"/>
  <c r="H31"/>
  <c r="F38"/>
  <c r="G38" s="1"/>
  <c r="I17"/>
  <c r="J17"/>
  <c r="H17"/>
  <c r="G30"/>
  <c r="K51"/>
  <c r="K27"/>
  <c r="K49"/>
  <c r="F61"/>
  <c r="G46"/>
  <c r="G33"/>
  <c r="H50"/>
  <c r="I50"/>
  <c r="J50"/>
  <c r="D20"/>
  <c r="E15"/>
  <c r="E20" s="1"/>
  <c r="E36"/>
  <c r="E40" s="1"/>
  <c r="K59"/>
  <c r="I54"/>
  <c r="H54"/>
  <c r="J54"/>
  <c r="J43"/>
  <c r="I43"/>
  <c r="H43"/>
  <c r="H24"/>
  <c r="J24"/>
  <c r="I24"/>
  <c r="I28"/>
  <c r="J28"/>
  <c r="H28"/>
  <c r="K37"/>
  <c r="K53"/>
  <c r="K55"/>
  <c r="K19"/>
  <c r="K18"/>
  <c r="AQ116" i="1"/>
  <c r="U22"/>
  <c r="V22"/>
  <c r="E29" i="4" s="1"/>
  <c r="E32" s="1"/>
  <c r="D62" l="1"/>
  <c r="E62"/>
  <c r="M36"/>
  <c r="M40" s="1"/>
  <c r="K34"/>
  <c r="K31"/>
  <c r="K43"/>
  <c r="K54"/>
  <c r="K24"/>
  <c r="K23"/>
  <c r="K16"/>
  <c r="K39"/>
  <c r="K41"/>
  <c r="J45"/>
  <c r="K17"/>
  <c r="I33"/>
  <c r="H33"/>
  <c r="J33"/>
  <c r="J30"/>
  <c r="I30"/>
  <c r="H30"/>
  <c r="H38"/>
  <c r="J38"/>
  <c r="I38"/>
  <c r="K50"/>
  <c r="H45"/>
  <c r="G61"/>
  <c r="H46"/>
  <c r="H61" s="1"/>
  <c r="J46"/>
  <c r="J61" s="1"/>
  <c r="I46"/>
  <c r="I61" s="1"/>
  <c r="K28"/>
  <c r="M15"/>
  <c r="M20" s="1"/>
  <c r="F36"/>
  <c r="I45"/>
  <c r="F15"/>
  <c r="F20" s="1"/>
  <c r="K35"/>
  <c r="M29"/>
  <c r="M32" s="1"/>
  <c r="AQ22" i="1"/>
  <c r="F29" i="4" s="1"/>
  <c r="AR116" i="1"/>
  <c r="AR22" s="1"/>
  <c r="M62" i="4" l="1"/>
  <c r="K45"/>
  <c r="K38"/>
  <c r="K46"/>
  <c r="K61" s="1"/>
  <c r="K33"/>
  <c r="G36"/>
  <c r="F40"/>
  <c r="G15"/>
  <c r="K30"/>
  <c r="F32"/>
  <c r="G29"/>
  <c r="G32" s="1"/>
  <c r="F62" l="1"/>
  <c r="I36"/>
  <c r="J36"/>
  <c r="J40" s="1"/>
  <c r="H36"/>
  <c r="H40" s="1"/>
  <c r="G40"/>
  <c r="H15"/>
  <c r="H20" s="1"/>
  <c r="I15"/>
  <c r="I20" s="1"/>
  <c r="J15"/>
  <c r="J20" s="1"/>
  <c r="G20"/>
  <c r="J29"/>
  <c r="J32" s="1"/>
  <c r="J62" s="1"/>
  <c r="I29"/>
  <c r="I32" s="1"/>
  <c r="H29"/>
  <c r="H32" s="1"/>
  <c r="G62" l="1"/>
  <c r="H62"/>
  <c r="K36"/>
  <c r="K40" s="1"/>
  <c r="I40"/>
  <c r="I62" s="1"/>
  <c r="K15"/>
  <c r="K20" s="1"/>
  <c r="K29"/>
  <c r="K32" s="1"/>
  <c r="K62" l="1"/>
</calcChain>
</file>

<file path=xl/sharedStrings.xml><?xml version="1.0" encoding="utf-8"?>
<sst xmlns="http://schemas.openxmlformats.org/spreadsheetml/2006/main" count="3207" uniqueCount="872">
  <si>
    <t>"Бекітемін"</t>
  </si>
  <si>
    <t xml:space="preserve">   </t>
  </si>
  <si>
    <t xml:space="preserve">  І-ІV  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</si>
  <si>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</si>
  <si>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</si>
  <si>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</si>
  <si>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</si>
  <si>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</si>
  <si>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</si>
  <si>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</si>
  <si>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</si>
  <si>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</si>
  <si>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</si>
  <si>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</si>
  <si>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категория</t>
  </si>
  <si>
    <t>коэф</t>
  </si>
  <si>
    <t>БЛА</t>
  </si>
  <si>
    <t>Косымша коэф</t>
  </si>
  <si>
    <t xml:space="preserve">Базалық ставка </t>
  </si>
  <si>
    <t>барлық жүкте-ме</t>
  </si>
  <si>
    <t xml:space="preserve">Апталық жуктеме сағаты </t>
  </si>
  <si>
    <t>Ауылдық жердегі жұмысы үшін 25%</t>
  </si>
  <si>
    <t>1 айдағы лауазымдық жалақы 25% бен қосқанда</t>
  </si>
  <si>
    <t>Сынып жетекшілігі үшін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</si>
  <si>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</si>
  <si>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</si>
  <si>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>ағылшын тілінде сабақ жүргізгеніне</t>
  </si>
  <si>
    <t>жаңартылған бағдарлама 
30%</t>
  </si>
  <si>
    <t>гимназия сагаттары</t>
  </si>
  <si>
    <t>Зияндық үшін 40% (үйінде, арнайы сыныпта жұмыс)</t>
  </si>
  <si>
    <t xml:space="preserve"> кабин меңгерушісі </t>
  </si>
  <si>
    <t>Қосымша төлемақылар</t>
  </si>
  <si>
    <t>Айлық жалақы, теңге</t>
  </si>
  <si>
    <t xml:space="preserve">Жылдық жалақы, мың теңге  </t>
  </si>
  <si>
    <t>1-4 сыныптар</t>
  </si>
  <si>
    <t>5-11 сыныптар</t>
  </si>
  <si>
    <t>модератор 30%</t>
  </si>
  <si>
    <t>сарапшы 
35%</t>
  </si>
  <si>
    <t>зерттеуші
40%</t>
  </si>
  <si>
    <t>шебер
50%</t>
  </si>
  <si>
    <t xml:space="preserve">сағ            І-ІV  </t>
  </si>
  <si>
    <t>сомма</t>
  </si>
  <si>
    <t xml:space="preserve">сағ            V-IX   </t>
  </si>
  <si>
    <t xml:space="preserve">сағ            X-XI   </t>
  </si>
  <si>
    <t>40% 50/100 сағат</t>
  </si>
  <si>
    <t>сағаттары</t>
  </si>
  <si>
    <t>Үйден сағаттары</t>
  </si>
  <si>
    <t>Жиыны</t>
  </si>
  <si>
    <t>Кадыркулов Роман</t>
  </si>
  <si>
    <t>инфор.</t>
  </si>
  <si>
    <t>жоғары</t>
  </si>
  <si>
    <t>В2-1</t>
  </si>
  <si>
    <t>Әзібаева Бағила</t>
  </si>
  <si>
    <t>бастауыш</t>
  </si>
  <si>
    <t>Абдрахманова Ирада</t>
  </si>
  <si>
    <t>орыс тілі</t>
  </si>
  <si>
    <t>Абдуллаева Күлшат</t>
  </si>
  <si>
    <t>еңбек</t>
  </si>
  <si>
    <t>Алиева Назым</t>
  </si>
  <si>
    <t>Асенова Айса</t>
  </si>
  <si>
    <t>ағылышын тілі</t>
  </si>
  <si>
    <t>Аманбаева Лаззат</t>
  </si>
  <si>
    <t>Арыстанбай Зағира</t>
  </si>
  <si>
    <t>Байкобекова Лаззат</t>
  </si>
  <si>
    <t>Джакыпова Гульнар</t>
  </si>
  <si>
    <t>химия</t>
  </si>
  <si>
    <t>Ералиева Ақбөбек</t>
  </si>
  <si>
    <t>Қазақ тілі</t>
  </si>
  <si>
    <t>Ергешова Гүлмира</t>
  </si>
  <si>
    <t>Ергешова Дилэфруз</t>
  </si>
  <si>
    <t>Ергешова Марифат</t>
  </si>
  <si>
    <t>матем.</t>
  </si>
  <si>
    <t>Жандаулетова Каламқас</t>
  </si>
  <si>
    <t>Жакудеева Назым</t>
  </si>
  <si>
    <t>Жұбаева Айгүл</t>
  </si>
  <si>
    <t>Жумагулбаева Жанар</t>
  </si>
  <si>
    <t>Жумадилова Дилноз</t>
  </si>
  <si>
    <t>Ибраева Айгүл</t>
  </si>
  <si>
    <t>Ибраева Акнұр</t>
  </si>
  <si>
    <t>Имашова Гулмира</t>
  </si>
  <si>
    <t>Исамидинова Гүлжан</t>
  </si>
  <si>
    <t>Макулбаева Лаззат</t>
  </si>
  <si>
    <t>музыка</t>
  </si>
  <si>
    <t>Масаева Лиза</t>
  </si>
  <si>
    <t>Медеубаева Салтанат</t>
  </si>
  <si>
    <t>биолог.</t>
  </si>
  <si>
    <t>Мукашов Камбар</t>
  </si>
  <si>
    <t>тарих</t>
  </si>
  <si>
    <t>Нурбекова Гүлмира</t>
  </si>
  <si>
    <t>Нұржанбаева Жанар</t>
  </si>
  <si>
    <t>Нуркеева Саодат</t>
  </si>
  <si>
    <t>Оменова Айзада</t>
  </si>
  <si>
    <t>Орынбасарқызы Эльмира</t>
  </si>
  <si>
    <t>Оспанкызы Рысбибі</t>
  </si>
  <si>
    <t>геогр.</t>
  </si>
  <si>
    <t>Сатыбалдиева Шакижамал</t>
  </si>
  <si>
    <t>Сатыбалдиева Гүлжамал</t>
  </si>
  <si>
    <t>Сыздыков Шәріпбек</t>
  </si>
  <si>
    <t>денетәрбиесі</t>
  </si>
  <si>
    <t>Сырлыбаева Гүлдария</t>
  </si>
  <si>
    <t>физика</t>
  </si>
  <si>
    <t>Сүлейменова Тұрғанай</t>
  </si>
  <si>
    <t>Танатова Алмагүл</t>
  </si>
  <si>
    <t>Турсымбаева Пакизат</t>
  </si>
  <si>
    <t>Умиртаева Гүлзира</t>
  </si>
  <si>
    <t>Файзуллаева Арзухан</t>
  </si>
  <si>
    <t>Сабденова Альбина</t>
  </si>
  <si>
    <t>вакант</t>
  </si>
  <si>
    <t>Әмирдинов Талгат</t>
  </si>
  <si>
    <t>АӘТД</t>
  </si>
  <si>
    <t>В2-2</t>
  </si>
  <si>
    <t>Байдаулетова Айткул</t>
  </si>
  <si>
    <t>Дадебаев Мансур</t>
  </si>
  <si>
    <t>Карабаева Аманқыз</t>
  </si>
  <si>
    <t>Камалова Надыра</t>
  </si>
  <si>
    <t>Катекеева Гүлжауһар</t>
  </si>
  <si>
    <t>Кенешбаева Гулзада</t>
  </si>
  <si>
    <t>Муратова Айнұр</t>
  </si>
  <si>
    <t>Мухамаджанова Тұрсынай</t>
  </si>
  <si>
    <t>Сердалиева Бибігүл</t>
  </si>
  <si>
    <t>Ташметова Феруза</t>
  </si>
  <si>
    <t>Тілеулиева Мирамкүл</t>
  </si>
  <si>
    <t>Тулепова Гүлзина</t>
  </si>
  <si>
    <t>Умиралиева Эльмира</t>
  </si>
  <si>
    <t>Эшжанов Бақытжан</t>
  </si>
  <si>
    <t>Шокенова Қалдыкүл</t>
  </si>
  <si>
    <t>Сәңкібаева Нәзира</t>
  </si>
  <si>
    <t>В2-3</t>
  </si>
  <si>
    <t>Исаева Нагира</t>
  </si>
  <si>
    <t>Абдраманова Мадина</t>
  </si>
  <si>
    <t>Серикқалиқызы Алима</t>
  </si>
  <si>
    <t>Ижанова Мөлдір</t>
  </si>
  <si>
    <t>Кыстаубаева Нургул</t>
  </si>
  <si>
    <t>Мадияров Ербол</t>
  </si>
  <si>
    <t>Сарманова Еркінай</t>
  </si>
  <si>
    <t>Досанова Айгүл</t>
  </si>
  <si>
    <t>Нуритдинова Гүлнар</t>
  </si>
  <si>
    <t>Аманбаева Айдана</t>
  </si>
  <si>
    <t>Файзуллаева Лаура</t>
  </si>
  <si>
    <t>Төлекенова Әсем</t>
  </si>
  <si>
    <t>хим.биолг</t>
  </si>
  <si>
    <t>Төребаева Аяулым</t>
  </si>
  <si>
    <t>Арыстанбек Акнур</t>
  </si>
  <si>
    <t xml:space="preserve">Қамбарова Динара </t>
  </si>
  <si>
    <t>Ескерова Кундызай</t>
  </si>
  <si>
    <t>Алтыбаева Гүлнар</t>
  </si>
  <si>
    <t>В2-4</t>
  </si>
  <si>
    <t>Асылбеков Дүйсен</t>
  </si>
  <si>
    <t>Табризова Гүлжан</t>
  </si>
  <si>
    <t>Нұрмағанбетова Мереке</t>
  </si>
  <si>
    <t>Қуатова Уголай</t>
  </si>
  <si>
    <t>Керимбаева Гулжамал</t>
  </si>
  <si>
    <t>Қыстаубаев Аманғали</t>
  </si>
  <si>
    <t>Байманова Перизат</t>
  </si>
  <si>
    <t>Нысанбаева Мейрамкүл</t>
  </si>
  <si>
    <t>Нутиллаева Динара</t>
  </si>
  <si>
    <t>психология</t>
  </si>
  <si>
    <t>Аширметова Умида</t>
  </si>
  <si>
    <t xml:space="preserve">Педагогика және психология </t>
  </si>
  <si>
    <t>Боранбаев Ерлан</t>
  </si>
  <si>
    <t>Жумабеков Қанат</t>
  </si>
  <si>
    <t>Қаламбаев Айдар</t>
  </si>
  <si>
    <t>Жусипов Самат</t>
  </si>
  <si>
    <t>Қуатова Шарбат</t>
  </si>
  <si>
    <t>Беркіншиева Набира</t>
  </si>
  <si>
    <t>Жандуалиева Меруерт</t>
  </si>
  <si>
    <t>Абдуллаева Камола</t>
  </si>
  <si>
    <t>Атабаев Айдос</t>
  </si>
  <si>
    <t>Колжанова Румана</t>
  </si>
  <si>
    <t>Бергенова Гүлзипа</t>
  </si>
  <si>
    <t>Нұржанбаева Динара</t>
  </si>
  <si>
    <t>Нақай Гүлжан</t>
  </si>
  <si>
    <t>Маликова Ақнұр</t>
  </si>
  <si>
    <t>Файзуллаева Элеонра</t>
  </si>
  <si>
    <t>Алпамысова Құртқа</t>
  </si>
  <si>
    <t>Оспанова Фарида</t>
  </si>
  <si>
    <t>Сулейменова Ботакоз</t>
  </si>
  <si>
    <t>Орманов Шухрат</t>
  </si>
  <si>
    <t>Вакант</t>
  </si>
  <si>
    <t>Лауазымдардың атауы</t>
  </si>
  <si>
    <t>аты-жөні</t>
  </si>
  <si>
    <t>Білімі
жоғары, орта арнаулы</t>
  </si>
  <si>
    <t>еңбек өтілі</t>
  </si>
  <si>
    <t>коэф.</t>
  </si>
  <si>
    <t>қосымша кф</t>
  </si>
  <si>
    <t>лауазымды жалақы</t>
  </si>
  <si>
    <t>ауылдық жердегі жұмысы үшін 25%</t>
  </si>
  <si>
    <t>экология 20 %</t>
  </si>
  <si>
    <t xml:space="preserve">Зиянды және қауіпті еңбек жағдайлары 20%- 30% 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</si>
  <si>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</si>
  <si>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мереке күндері жұмыс істегені үшін</t>
  </si>
  <si>
    <t xml:space="preserve">түнгі уақытта жұмыс істегені үшін 50% </t>
  </si>
  <si>
    <t>басшы лауазымы 30%, 50%, 100%</t>
  </si>
  <si>
    <t>Директор</t>
  </si>
  <si>
    <t>Улымбаева Айсұлу</t>
  </si>
  <si>
    <t>А1-3</t>
  </si>
  <si>
    <t>Дир оқу жұмысы жөніндегі орынбасары</t>
  </si>
  <si>
    <t>Танеев Бауыржан</t>
  </si>
  <si>
    <t>А1-3-1</t>
  </si>
  <si>
    <t>Сейтмаханұлы Нұрмахан</t>
  </si>
  <si>
    <t>Мамыхова Нағима</t>
  </si>
  <si>
    <t>Директордың  Ғылыми инновациялық  ісі жөніндегі орынбасары</t>
  </si>
  <si>
    <t>Байгараева Раушан</t>
  </si>
  <si>
    <t>Нуржанбаев Әбдірахман</t>
  </si>
  <si>
    <t>Ермекбаев Сабит</t>
  </si>
  <si>
    <t>Арн орта</t>
  </si>
  <si>
    <t>А2-3</t>
  </si>
  <si>
    <t>педагог-психолог</t>
  </si>
  <si>
    <t>Басарова Мадина</t>
  </si>
  <si>
    <t xml:space="preserve">B2-2                                       </t>
  </si>
  <si>
    <t>Утебаева Меруерт</t>
  </si>
  <si>
    <t xml:space="preserve">B2-3                                              </t>
  </si>
  <si>
    <t>Ыскакова Арай</t>
  </si>
  <si>
    <t xml:space="preserve">B2-2                                            </t>
  </si>
  <si>
    <t>педагог-дефектолог</t>
  </si>
  <si>
    <t>Салметова Перизат</t>
  </si>
  <si>
    <t>B3-4</t>
  </si>
  <si>
    <t>Қойшыбаев Фарух</t>
  </si>
  <si>
    <t xml:space="preserve">B3-3                                              </t>
  </si>
  <si>
    <t>Амирдинов Талғат</t>
  </si>
  <si>
    <t xml:space="preserve"> Мектеп алды даярлық тобының тәрбиешісі </t>
  </si>
  <si>
    <t>Паринова Замира</t>
  </si>
  <si>
    <t xml:space="preserve">B3-4                                              </t>
  </si>
  <si>
    <t>Мүсірепова Майра</t>
  </si>
  <si>
    <t>Әлеуметті педагог</t>
  </si>
  <si>
    <t>Абжанова Фатима</t>
  </si>
  <si>
    <t xml:space="preserve">B3-4                                             </t>
  </si>
  <si>
    <t>тәлімгер</t>
  </si>
  <si>
    <t xml:space="preserve">Қосымымша білім беру педаг дене шынық.  </t>
  </si>
  <si>
    <t>Нұржанбаев Абдрахман</t>
  </si>
  <si>
    <t xml:space="preserve">B3-1                                             </t>
  </si>
  <si>
    <t>Ботабағаров Жомарт</t>
  </si>
  <si>
    <t xml:space="preserve">Қосымымша білім беру педаг өнер </t>
  </si>
  <si>
    <t>Рашидов Бекзат</t>
  </si>
  <si>
    <t xml:space="preserve">B3-2                                              </t>
  </si>
  <si>
    <t>Жақсыбаев Еркебұлан</t>
  </si>
  <si>
    <t xml:space="preserve">Интернат тәрбиешісі </t>
  </si>
  <si>
    <t xml:space="preserve">Заурбекова Майра </t>
  </si>
  <si>
    <t>В3-4</t>
  </si>
  <si>
    <t xml:space="preserve">Аманжолов Данияр </t>
  </si>
  <si>
    <t>Жумабекова Асем</t>
  </si>
  <si>
    <t>Өскен Мәкен</t>
  </si>
  <si>
    <t>В3-3</t>
  </si>
  <si>
    <t>Кітапхана меңгерушісі</t>
  </si>
  <si>
    <t>Әмірбаева Айзат</t>
  </si>
  <si>
    <t>Жоғары</t>
  </si>
  <si>
    <t>С-1</t>
  </si>
  <si>
    <t>Кітапханашы</t>
  </si>
  <si>
    <t>С-2</t>
  </si>
  <si>
    <t xml:space="preserve">Химия кабинетінің зертханашы </t>
  </si>
  <si>
    <t>Тажибаева Асель</t>
  </si>
  <si>
    <t>Адырбекова Гулжан</t>
  </si>
  <si>
    <t xml:space="preserve">Биология кабинетінің зертханашы </t>
  </si>
  <si>
    <t>Өміралиева Гульвира</t>
  </si>
  <si>
    <t>Сакеева Райхан</t>
  </si>
  <si>
    <t xml:space="preserve">Корганбекова Феруза </t>
  </si>
  <si>
    <t>Расулматова  Дильназ</t>
  </si>
  <si>
    <t>Физика кабинетінің зертханашы</t>
  </si>
  <si>
    <t>Туреханова Нурхадиша</t>
  </si>
  <si>
    <t>Корганбекова Наргиза</t>
  </si>
  <si>
    <t>Информатика каб.  зертханашы</t>
  </si>
  <si>
    <t>Тажиева  Жамал</t>
  </si>
  <si>
    <t>Тунгышбаева Жазира</t>
  </si>
  <si>
    <t>Утембаева Ирода</t>
  </si>
  <si>
    <t>Медбике</t>
  </si>
  <si>
    <t>Мустафа Меруерт</t>
  </si>
  <si>
    <t>В4-1</t>
  </si>
  <si>
    <t>Абдухаюмова Гулфайруз</t>
  </si>
  <si>
    <t>В4-4</t>
  </si>
  <si>
    <t>Сатыбалдиева Майра</t>
  </si>
  <si>
    <t>Сатыбалдиев Мурат</t>
  </si>
  <si>
    <t>С1</t>
  </si>
  <si>
    <t>Бағдарлама қамтамасыз ету жөніндегі маман</t>
  </si>
  <si>
    <t>Касимов Мамыр</t>
  </si>
  <si>
    <t>С2</t>
  </si>
  <si>
    <t>Жамболова  Шынар</t>
  </si>
  <si>
    <t>С3</t>
  </si>
  <si>
    <t>интернат шаруашылық меңгерушісі</t>
  </si>
  <si>
    <t xml:space="preserve">хатшы </t>
  </si>
  <si>
    <t>Сопиева  Мөлдр</t>
  </si>
  <si>
    <t xml:space="preserve">D1                                                </t>
  </si>
  <si>
    <t>іс қағаздарын жүргізуші</t>
  </si>
  <si>
    <t>көмекші тәрбеші</t>
  </si>
  <si>
    <t>Төлеуова Айгул</t>
  </si>
  <si>
    <t>Садева Махсуда</t>
  </si>
  <si>
    <t>Ғимараттарға кешенді қызмет көрсету және жөндеу бойынша жұмысшы</t>
  </si>
  <si>
    <t>Орта</t>
  </si>
  <si>
    <t>Оразбақов Дәурен</t>
  </si>
  <si>
    <t>Изатуллаев Хасан</t>
  </si>
  <si>
    <t>слесарь-сантехник</t>
  </si>
  <si>
    <t>Нурмашов  Тулеген</t>
  </si>
  <si>
    <t>электромонтер</t>
  </si>
  <si>
    <t xml:space="preserve">Кулменов Шухрат </t>
  </si>
  <si>
    <t>аула сыпырушы</t>
  </si>
  <si>
    <t>Байсакалова Айгуль</t>
  </si>
  <si>
    <t>Аметжанова Мухаббат</t>
  </si>
  <si>
    <t>вахтер</t>
  </si>
  <si>
    <t>Асылбекова Сая</t>
  </si>
  <si>
    <t>Байманова Тұрғанкүл</t>
  </si>
  <si>
    <t>Төрегелдіқызы Бекзат</t>
  </si>
  <si>
    <t xml:space="preserve">Мухханова Светлана </t>
  </si>
  <si>
    <t>Қызмет үй-жайларын тазалаушы</t>
  </si>
  <si>
    <t>Адилбекова Райхан</t>
  </si>
  <si>
    <t>Айтбаева Тымаркүл</t>
  </si>
  <si>
    <t>Амзеева Гулнар</t>
  </si>
  <si>
    <t>Ануарбекова Барна</t>
  </si>
  <si>
    <t>Баймурзаева Бердікүл</t>
  </si>
  <si>
    <t>Байтұрсынова Гүлсім</t>
  </si>
  <si>
    <t>Балғабаева Жамал</t>
  </si>
  <si>
    <t>Скакова Сандуғаш</t>
  </si>
  <si>
    <t>Достаева Пернекүл</t>
  </si>
  <si>
    <t>Зүлпиева Толкын</t>
  </si>
  <si>
    <t>Ибжанова Акмарал</t>
  </si>
  <si>
    <t>Масаминова Гауһар</t>
  </si>
  <si>
    <t>Мамытбаева Дилдара</t>
  </si>
  <si>
    <t>Нурмаганбетова Жанар</t>
  </si>
  <si>
    <t>Оспанова Нұржамал</t>
  </si>
  <si>
    <t>Паримбекова Алмагүл</t>
  </si>
  <si>
    <t>Ташметова Салтанат</t>
  </si>
  <si>
    <t>Қалдаулетова Майра</t>
  </si>
  <si>
    <t>Қалдыкөзова Ақнұр</t>
  </si>
  <si>
    <t>Турсынбаева Маврифат</t>
  </si>
  <si>
    <t>Қудайбергенова Хуснават</t>
  </si>
  <si>
    <t xml:space="preserve">Байдаулетова Любовь </t>
  </si>
  <si>
    <t>Беккулиева Айнур</t>
  </si>
  <si>
    <t>Бұланбаева Рыскүл</t>
  </si>
  <si>
    <t>Оспанова Салтанат</t>
  </si>
  <si>
    <t xml:space="preserve">Бас аспазшы </t>
  </si>
  <si>
    <t xml:space="preserve">Беристемова Алия </t>
  </si>
  <si>
    <t>Аспаз</t>
  </si>
  <si>
    <t>Кіші қазандық операторы</t>
  </si>
  <si>
    <t>Абдраймов Мырзабек</t>
  </si>
  <si>
    <t>балташы</t>
  </si>
  <si>
    <t>Мадияров Мухиддин</t>
  </si>
  <si>
    <t>Көлік жүргізуші</t>
  </si>
  <si>
    <t>Омаров Алымжан</t>
  </si>
  <si>
    <t>ғимарат саны</t>
  </si>
  <si>
    <t>ғимараттың тазаланатың алаңы</t>
  </si>
  <si>
    <t>шаршы метр</t>
  </si>
  <si>
    <t>Нұсқау бойынша</t>
  </si>
  <si>
    <t>Нақты</t>
  </si>
  <si>
    <t>айырмасы</t>
  </si>
  <si>
    <t>Ескерту</t>
  </si>
  <si>
    <t>Директордың оқу ісі жөніндегі орынбасары</t>
  </si>
  <si>
    <t>Директордың тәрбие ісі жөніндегі орынбасары</t>
  </si>
  <si>
    <t>Директордың шет тілі  жөніндегі орынбасары</t>
  </si>
  <si>
    <t>Директордың шаруашылық жөніндегі орынбасары</t>
  </si>
  <si>
    <t>Интернат меңгерушісі</t>
  </si>
  <si>
    <t>Шаруашылық қойма меңгерушісі</t>
  </si>
  <si>
    <t>Ұйымдастырушы педагог</t>
  </si>
  <si>
    <t>Педагог-психолог</t>
  </si>
  <si>
    <t>Әлеуметтік педагог</t>
  </si>
  <si>
    <t xml:space="preserve">Мейірбике </t>
  </si>
  <si>
    <t>Кіші медициналық персонал</t>
  </si>
  <si>
    <t>Кітапханашы меңгеруші</t>
  </si>
  <si>
    <t>Kітапханашы</t>
  </si>
  <si>
    <t>Іс қағаздарын жүргізуші</t>
  </si>
  <si>
    <t>Хатшы</t>
  </si>
  <si>
    <t>Тәрбиеші</t>
  </si>
  <si>
    <t>ҚРҮ 2017 ж 30.01 № 77  қаулысындғы 5 бөлімнің 1 ескерпесінде тәрбиеленушілердің саны 5-7 сыныптардағы тәрбиеленушілердің әрбір тобына 2 бірліктен болғандықтан 8 х2=16 тәрбиеші , 8-11 сыныптарда тәрбиеленуші  9 топ болғандықтан 9 х1= 9 бірліктен   тәрбиеші  барлығы 29 шт бірлік</t>
  </si>
  <si>
    <t>Тәрбиешінің көмекшісі</t>
  </si>
  <si>
    <t>АӘД мұғалімі</t>
  </si>
  <si>
    <t>Лаборант</t>
  </si>
  <si>
    <t>Көмекші аспаз</t>
  </si>
  <si>
    <t>Ыдыс жуушы</t>
  </si>
  <si>
    <t>Кір жуу машиналарының операторы</t>
  </si>
  <si>
    <t>ҚРҮ 2017 ж 30.01 № 77  қаулысы                         21-30  сыныпқа</t>
  </si>
  <si>
    <t>Ғимаратта кешенді қызмет көрсететін және жөндейтін жұмысшы</t>
  </si>
  <si>
    <t>Вахтер, әрбір ғимаратқа</t>
  </si>
  <si>
    <t>Еден жуушы</t>
  </si>
  <si>
    <t>Аула сыпырушы</t>
  </si>
  <si>
    <t>Ағаш ұстасы</t>
  </si>
  <si>
    <t>Киім  ілуші</t>
  </si>
  <si>
    <t>Барлығы</t>
  </si>
  <si>
    <t>В3-2</t>
  </si>
  <si>
    <t>АӘД жөн-гі оқытушы-ұйымдастырушы  (НВП)</t>
  </si>
  <si>
    <t>Блок "А" (басқарушы персонал)</t>
  </si>
  <si>
    <t>Блок "В" (негізгі персонал)</t>
  </si>
  <si>
    <t xml:space="preserve">Блок "С" (әкімшілік персонал)
</t>
  </si>
  <si>
    <t>Блок "D" (көмекші персонал)</t>
  </si>
  <si>
    <t>біліктілік разряд</t>
  </si>
  <si>
    <t>Б.Танеев</t>
  </si>
  <si>
    <t>Дир шаруашылық жұмысы жөніндегі орынбасары</t>
  </si>
  <si>
    <t>С. Ермекбаев</t>
  </si>
  <si>
    <t>шт.бірлік</t>
  </si>
  <si>
    <t>"КЕЛІСЕМІН"</t>
  </si>
  <si>
    <t>___________________Н. Т. Айдаров</t>
  </si>
  <si>
    <t>Сынып - комплект саны (топ):</t>
  </si>
  <si>
    <t>Оқушылар саны (оқушылар) :</t>
  </si>
  <si>
    <t>    ТАРИФИКАЦИЯЛЫҚ КЕСТЕ</t>
  </si>
  <si>
    <t>Қызмет атауы</t>
  </si>
  <si>
    <t>Штат бірлігінің саны</t>
  </si>
  <si>
    <t>Базалық ставка</t>
  </si>
  <si>
    <t xml:space="preserve">Зиянды және қауіпті еңбек жағдайлары 20% </t>
  </si>
  <si>
    <t>Басқалар</t>
  </si>
  <si>
    <t>Айлық жалақы, теңге (111 ерекшелік)</t>
  </si>
  <si>
    <t>Әлеуметтік салық (121-ерекшелік)</t>
  </si>
  <si>
    <t>Әлеуметтік сақтандыру қоры (122-ерекшелік)</t>
  </si>
  <si>
    <t>ОСМС және медициналық сақтандыру қоры (124-ерекшелік)</t>
  </si>
  <si>
    <t>Еңбек ақы қоры ФОТ       (111-124)</t>
  </si>
  <si>
    <t>Мемлекеттік және азаматтық қызметшілердің сауықтыру жәрдемақысы (113-ерекшелік)</t>
  </si>
  <si>
    <t>Экологиялық апат аймағындағы жұмыскерлерге төленетін сауықтыру жәрдемақысы (113-ерекшелік)</t>
  </si>
  <si>
    <t>Жиыны (басқарушы персонала)</t>
  </si>
  <si>
    <t>АӘТД жетекшісі</t>
  </si>
  <si>
    <t>Педагог- психолог</t>
  </si>
  <si>
    <t>Тәлімгер</t>
  </si>
  <si>
    <t>МАД тәрбиешісі</t>
  </si>
  <si>
    <t>мұғалімдер жүктемесі</t>
  </si>
  <si>
    <t>Қосымша білім беру педаг. тіл маманы</t>
  </si>
  <si>
    <t>Жиыны (негізгі персонала)</t>
  </si>
  <si>
    <t xml:space="preserve">Шаруашылық меңгерушісі </t>
  </si>
  <si>
    <t>Бағдарламашы</t>
  </si>
  <si>
    <t>зертханашылар</t>
  </si>
  <si>
    <t>Жиыны(әкімшілік персонала)</t>
  </si>
  <si>
    <t>Іс жүргізуші</t>
  </si>
  <si>
    <t>Жиыны (қосалқы персонала)</t>
  </si>
  <si>
    <t>ғимраттарға кешенді қызмет көрсететін және жөндейтін  жұмысшы</t>
  </si>
  <si>
    <t>киім ілуші</t>
  </si>
  <si>
    <t>қызмет үй жай.тазалаушы</t>
  </si>
  <si>
    <t>біліктілік разряды</t>
  </si>
  <si>
    <t>Б. Танеев</t>
  </si>
  <si>
    <t xml:space="preserve">                  С. Ермекбаев</t>
  </si>
  <si>
    <t>кәсіптік бағдар</t>
  </si>
  <si>
    <t>педагог-логопед</t>
  </si>
  <si>
    <t>Директордың инновация ісі жөніндегі орынбасары</t>
  </si>
  <si>
    <t>Директордың шаруашылық  жұмысы жөніндегі орынбасары</t>
  </si>
  <si>
    <t>Педагог- дефектолог</t>
  </si>
  <si>
    <t>Педагог- логопед</t>
  </si>
  <si>
    <t>интернат  тәрбиешісі</t>
  </si>
  <si>
    <t>медбике</t>
  </si>
  <si>
    <t>интернат меңгерушісі</t>
  </si>
  <si>
    <t>хатшы</t>
  </si>
  <si>
    <t>санитарь</t>
  </si>
  <si>
    <t>тәрбиеші көмекші</t>
  </si>
  <si>
    <t>бас аспаз</t>
  </si>
  <si>
    <t>аспаз</t>
  </si>
  <si>
    <t>көлік жүргізуші</t>
  </si>
  <si>
    <t>Итернат меңгерушісі</t>
  </si>
  <si>
    <t>Шаруашылық меңгерушісі</t>
  </si>
  <si>
    <t>киім бүтіндеу жөніндегі тігінші</t>
  </si>
  <si>
    <t>кір жуу машиналарының операторы</t>
  </si>
  <si>
    <t>ас үй жұмысшысы</t>
  </si>
  <si>
    <t>оқулықтардың кітапхана қорымен жұмыс жасағаны үшін</t>
  </si>
  <si>
    <t>кабинетке ақы төлеу</t>
  </si>
  <si>
    <t>25,00</t>
  </si>
  <si>
    <t>7,00</t>
  </si>
  <si>
    <t>6,00</t>
  </si>
  <si>
    <t>9,00</t>
  </si>
  <si>
    <t>15,00</t>
  </si>
  <si>
    <t>22,04</t>
  </si>
  <si>
    <t>21,11</t>
  </si>
  <si>
    <t>Садиева Гулгинай</t>
  </si>
  <si>
    <t xml:space="preserve">Аткеева Мехри </t>
  </si>
  <si>
    <t>18,04</t>
  </si>
  <si>
    <t>Әкімбек Инабат</t>
  </si>
  <si>
    <t>Колхоз Сара</t>
  </si>
  <si>
    <t>Аманбаев Еркебұлан</t>
  </si>
  <si>
    <t>Байғараева Раушан</t>
  </si>
  <si>
    <t>Сарыбаева Ақерке</t>
  </si>
  <si>
    <t>Джуасбаева Сарвиназ</t>
  </si>
  <si>
    <t>6,07</t>
  </si>
  <si>
    <t>Сулайманова Жанар</t>
  </si>
  <si>
    <t>Жиенбаева Акмарал</t>
  </si>
  <si>
    <t>Исамидинова Аманкул</t>
  </si>
  <si>
    <t>Тұрғараев Бағдат</t>
  </si>
  <si>
    <t xml:space="preserve">вакант </t>
  </si>
  <si>
    <t>Кәсіптік бағдар</t>
  </si>
  <si>
    <t>Киім бүтіндеу жөніндегі тігінші</t>
  </si>
  <si>
    <t>Слесарь сантехник</t>
  </si>
  <si>
    <t>Рысбаева Ақмарал</t>
  </si>
  <si>
    <t>24,,07</t>
  </si>
  <si>
    <t>Рахышова Гулзада</t>
  </si>
  <si>
    <t>Самидинов Арман</t>
  </si>
  <si>
    <t>Электрик</t>
  </si>
  <si>
    <t>ҚРҮ 2017 ж 30.01 № 77  қаулысы                           21-30  сыныпқа</t>
  </si>
  <si>
    <t>ҚРҮ 2017 ж 30.01 № 77  қаулысы                              21-30  сыныпқа</t>
  </si>
  <si>
    <t>ҚРҮ 2017 ж 30.01 № 77  қаулысы                                 21-30  сыныпқа</t>
  </si>
  <si>
    <t>ҚРҮ 2017 ж 30.01 № 77  қаулысы                                   21-30  сыныпқа</t>
  </si>
  <si>
    <t>ҚРҮ 2017 ж 30.01 № 77  қаулысы                                  21-30  сыныпқа</t>
  </si>
  <si>
    <t>ҚРҮ 2017 ж 30.01 № 77  қаулысы                                    21-30  сыныпқа</t>
  </si>
  <si>
    <t>ҚРҮ 2017 ж 30.01 № 77  қаулысы                                      21-30  сыныпқа</t>
  </si>
  <si>
    <t>ҚРҮ 2017 ж 30.01 № 77  қаулысы                               21-30  сыныпқа</t>
  </si>
  <si>
    <t>ҚРҮ 2017 ж 30.01 № 77  қаулысы                                   № 8 қосымша 29 тармақ  қажеттілікке байланысты</t>
  </si>
  <si>
    <t>ҚРҮ 2017 ж 30.01 № 77  қаулысы                                     21-30  сыныпқа</t>
  </si>
  <si>
    <t>ҚРҮ 2017 ж 30.01 № 77  қаулысы                                21-30  сыныпқа</t>
  </si>
  <si>
    <t>ҚРҮ 2017 ж 30.01 № 77  қаулысы                                          21-30  сыныпқа</t>
  </si>
  <si>
    <t>ҚРҮ 2017 ж 30.01 № 77  қаулысы                                        21-30  сыныпқа</t>
  </si>
  <si>
    <t>ҚРҮ 2017 ж 30.01 № 77  қаулысы 5 бөлім 2 тармақта тәрбиеші көмекшісі лауазымының штат бірліктері әрбір жатын корпусқа жұмыстың ауысымдық режимі ескеріле отырып белгіленеді.      мекемеде 1-ші жатақханада 3 қабатты  екі жақтан кіргенде аусыммен 8 бірлікпен тәрбиеші көмекшісі,2-ші жатақханада 4 қабатты бір есіктен кіргесін аусыммен 4 бірлік тәрбиеші көмекшісі  барлығы 12 шт бірлік</t>
  </si>
  <si>
    <t>ҚРҮ 2017 ж 30.01 № 77  қаулысы                                № 8 қосымша  12  тармақ</t>
  </si>
  <si>
    <t>ҚРҮ 2017 ж 30.01 № 77  қаулысы                                   № 8 қосымша 29 тармақ қажеттілікке байланысты</t>
  </si>
  <si>
    <t>ҚРҮ 2017 ж 30.01 № 77  қаулысы                                  № 8 қосымша  15  тармаққа байланысты 12 жабдықталған кабинет әр кабинетке 0,5 штат бірліктен 6 шт бірлік қажет</t>
  </si>
  <si>
    <t>ҚРҮ 2017 ж 30.01 № 77  қаулысы                                          № 8 қосымша 2  тармақша арнай жабдықталған 2 работехника  кабинеті бар</t>
  </si>
  <si>
    <t>ҚРҮ 2017 ж 30.01 № 77  қаулысы                                            21-30  сыныпқа,  ғимарат саны 2</t>
  </si>
  <si>
    <t>ҚРҮ 2017 ж 30.01 № 77  қаулысы                                           21-30  сыныпқа</t>
  </si>
  <si>
    <r>
      <t xml:space="preserve">ҚРҮ 2017 ж 30.01 № 77  қаулысы                                               21-30  сыныпқа, ғимарат саны </t>
    </r>
    <r>
      <rPr>
        <sz val="11"/>
        <color indexed="8"/>
        <rFont val="Times New Roman"/>
        <family val="1"/>
        <charset val="204"/>
      </rPr>
      <t xml:space="preserve">1 </t>
    </r>
  </si>
  <si>
    <t>ҚРҮ 2017 ж 30.01 № 77  қаулысы                                   21-30  сыныпқа, ғимарат саны 5</t>
  </si>
  <si>
    <t>ҚРҮ 2017 ж 30.01 № 77  қаулысы                                          № 8 қосымша 4  тармақша,   моншаға</t>
  </si>
  <si>
    <t xml:space="preserve">ҚРҮ 2017 ж 30.01 № 77  қаулысы                                 № 8 қосымша 5   тармақша,    ғимараттың 500 шары метріне 1 штат бірлік  тазалайтын шаршы метрі 8500м2  </t>
  </si>
  <si>
    <t>ҚРҮ 2017 ж 30.01 № 77  қаулысы                                         № 8 қосымша 7  тармақша,   сыпрылатын учаске саны  шаршы метрі 2800м2</t>
  </si>
  <si>
    <r>
      <t xml:space="preserve">ҚРҮ 2017 ж 30.01 № 77  қаулысы                                     № 8 қосымша 7  тармақша  1 шата бірлік 500 жарықтандыру және нүктелерден  кем болмау керек  саны </t>
    </r>
    <r>
      <rPr>
        <b/>
        <u/>
        <sz val="11"/>
        <color indexed="8"/>
        <rFont val="Times New Roman"/>
        <family val="1"/>
        <charset val="204"/>
      </rPr>
      <t>518</t>
    </r>
  </si>
  <si>
    <t xml:space="preserve">ҚРҮ 2017 ж 30.01 № 77  қаулысы                                     № 8 қосымша  9   тармақша  1 штат бірлік  көліктің атаулары маркасы   Газел </t>
  </si>
  <si>
    <t>ҚРҮ 2017 ж 30.01 № 77  қаулысы                                     21-30сыныпқа, ғимарат саны 5</t>
  </si>
  <si>
    <t>ҚРҮ 2017 ж 30.01 № 77  қаулысы                                       21-30  сыныпқа, ғимарат саны 5</t>
  </si>
  <si>
    <t>ҚРҮ 2017 ж 30.01 № 77  қаулысы                                № 8 қосымша 29 тармақ, аз қамтылған бала саны 245</t>
  </si>
  <si>
    <t>модератор                                         30%</t>
  </si>
  <si>
    <t>50% 50/100 сағат</t>
  </si>
  <si>
    <t xml:space="preserve"> (білім беру ұйымының атауы)</t>
  </si>
  <si>
    <t xml:space="preserve">     Директордың оқу жұмысы жөніндегі орынбасары</t>
  </si>
  <si>
    <t>31,00</t>
  </si>
  <si>
    <t>30,08</t>
  </si>
  <si>
    <t>27,11</t>
  </si>
  <si>
    <t>17,00</t>
  </si>
  <si>
    <t>18,00</t>
  </si>
  <si>
    <t>37,00</t>
  </si>
  <si>
    <t>32,00</t>
  </si>
  <si>
    <t>26,00</t>
  </si>
  <si>
    <t>29,00</t>
  </si>
  <si>
    <t>33,01</t>
  </si>
  <si>
    <t>21,00</t>
  </si>
  <si>
    <t>12,06</t>
  </si>
  <si>
    <t>25,08</t>
  </si>
  <si>
    <t>28,05</t>
  </si>
  <si>
    <t>22,05</t>
  </si>
  <si>
    <t>41,00</t>
  </si>
  <si>
    <t>33,07</t>
  </si>
  <si>
    <t>14,09</t>
  </si>
  <si>
    <t>38,00</t>
  </si>
  <si>
    <t>23,00</t>
  </si>
  <si>
    <t>18,07</t>
  </si>
  <si>
    <t>33,00</t>
  </si>
  <si>
    <t>39,00</t>
  </si>
  <si>
    <t>19,00</t>
  </si>
  <si>
    <t>24,05</t>
  </si>
  <si>
    <t>22,07</t>
  </si>
  <si>
    <t>36,00</t>
  </si>
  <si>
    <t>33,02</t>
  </si>
  <si>
    <t>12,00</t>
  </si>
  <si>
    <t>7,08</t>
  </si>
  <si>
    <t>14,00</t>
  </si>
  <si>
    <t>17,05</t>
  </si>
  <si>
    <t>15,08</t>
  </si>
  <si>
    <t>38,10</t>
  </si>
  <si>
    <t>8,07</t>
  </si>
  <si>
    <t>8,11</t>
  </si>
  <si>
    <t>16,05</t>
  </si>
  <si>
    <t>27,00</t>
  </si>
  <si>
    <t>5,00</t>
  </si>
  <si>
    <t>4,09</t>
  </si>
  <si>
    <t>20,00</t>
  </si>
  <si>
    <t>4,00</t>
  </si>
  <si>
    <t>11,00</t>
  </si>
  <si>
    <t>8,09</t>
  </si>
  <si>
    <t>10,07</t>
  </si>
  <si>
    <t>16,00</t>
  </si>
  <si>
    <t>9,08</t>
  </si>
  <si>
    <t>5,06</t>
  </si>
  <si>
    <t>19,10</t>
  </si>
  <si>
    <t>3,06</t>
  </si>
  <si>
    <t>1,08</t>
  </si>
  <si>
    <t>Жайлау Гүлжан</t>
  </si>
  <si>
    <t>Тұрғанбаева Ботакөз</t>
  </si>
  <si>
    <t>0</t>
  </si>
  <si>
    <t>Орынтаева Жансая</t>
  </si>
  <si>
    <t>биология</t>
  </si>
  <si>
    <t>Алтынбекқызы Айгерім</t>
  </si>
  <si>
    <t xml:space="preserve">Абжанова Салтанат </t>
  </si>
  <si>
    <t>Жақсыбергенова Раушан</t>
  </si>
  <si>
    <t xml:space="preserve">Рашидов Бекзат  </t>
  </si>
  <si>
    <t>Абдужанова Фатима</t>
  </si>
  <si>
    <t>34,00</t>
  </si>
  <si>
    <t>Созақ ауданының</t>
  </si>
  <si>
    <t>білім бөлімінің басшысы</t>
  </si>
  <si>
    <t xml:space="preserve">          </t>
  </si>
  <si>
    <t xml:space="preserve">"Созақ"мектеп-гимназиясы КММ-нің  </t>
  </si>
  <si>
    <t>Созақ ауданының білім бөлімінің</t>
  </si>
  <si>
    <t>БЕКІТЕМІН</t>
  </si>
  <si>
    <t>директорының м.а ___________Н.Сейтмаханұлы</t>
  </si>
  <si>
    <t>шататық кесте</t>
  </si>
  <si>
    <t>штаттағы қызметкер саны</t>
  </si>
  <si>
    <t>Педагогтың аты-жөні</t>
  </si>
  <si>
    <t>Бітірген оқу орны</t>
  </si>
  <si>
    <t>Мамандығы</t>
  </si>
  <si>
    <t>Бітірген жылы,№</t>
  </si>
  <si>
    <t>Орталық Азия Иннов.унив.</t>
  </si>
  <si>
    <t>Орыс тілі мен әдебиеті</t>
  </si>
  <si>
    <t>Халықаралық Тараз Иннов.унив.</t>
  </si>
  <si>
    <t>Шет тілі</t>
  </si>
  <si>
    <t>ағылшын тілі курсын бітірген  педагогтарының тізімі  01.09.2023</t>
  </si>
  <si>
    <t>Берілген күні</t>
  </si>
  <si>
    <t>Біліктілігі</t>
  </si>
  <si>
    <t>Берілген жылы</t>
  </si>
  <si>
    <t>біліктілігі</t>
  </si>
  <si>
    <t>зерттеуші</t>
  </si>
  <si>
    <t>қазақ тілі мен әдебиеті</t>
  </si>
  <si>
    <t>ағылшын тілі</t>
  </si>
  <si>
    <t>информатика</t>
  </si>
  <si>
    <t>математика</t>
  </si>
  <si>
    <t>сарапшы</t>
  </si>
  <si>
    <t>дене шынықтыру</t>
  </si>
  <si>
    <t>АӘД</t>
  </si>
  <si>
    <t>география</t>
  </si>
  <si>
    <t>модератор</t>
  </si>
  <si>
    <t>Созақ ауданының білім бөлімінің  "Созақ" мектеп-гимназиясы КММ-нің 
әкімшілік және азаматтық қызметкерлерінің 01 қыркүйек 2023 жылдын  тарификациялау тізімі</t>
  </si>
  <si>
    <t xml:space="preserve">                                                                                                      Созақ ауданының білім бөлімінің  "Созақ" мектеп-гимназиясы  КММ-нің 
                                                                                                    педагог қызметкерлерінің  1 қыркүйек 2023 жылдын  тарификациялау тізімі</t>
  </si>
  <si>
    <t xml:space="preserve">                                      Созақ ауданының білім бөлімінің  "Созақ" мектеп-гимназиясы  КММ-нің 
      педагог әкімшілік және азаматтық қызметкерлерінің  01 қыркүйек 2023 жылдын  тарификациялау тізімі</t>
  </si>
  <si>
    <t>педагог мамандарының пән атауы</t>
  </si>
  <si>
    <t>сағат саны</t>
  </si>
  <si>
    <t>педагог саны</t>
  </si>
  <si>
    <t>Бастауыш сынып мұғалімі</t>
  </si>
  <si>
    <t>Қазақ тілі мен әдебиеті пәні мұғалімі</t>
  </si>
  <si>
    <t>Орыс тілі пәні мұғалімі</t>
  </si>
  <si>
    <t>Ағылшын тілі пәні мұғалімі</t>
  </si>
  <si>
    <t>Математика пәні мұғалімі</t>
  </si>
  <si>
    <t>Информатика пәні мұғалімі</t>
  </si>
  <si>
    <t>Физикапәні мұғалімі</t>
  </si>
  <si>
    <t>Химия пәні мұғалімі</t>
  </si>
  <si>
    <t>Биология пәні мұғаліміпәні мұғаліміпәні мұғалімі</t>
  </si>
  <si>
    <t>География пәні мұғалімі</t>
  </si>
  <si>
    <t>Тарих пәні мұғалімі</t>
  </si>
  <si>
    <t>Музыка пәні мұғалімі</t>
  </si>
  <si>
    <t>Көркем еңбек пәні мұғалімі</t>
  </si>
  <si>
    <t>Дене шынықтыру пәні мұғалімі</t>
  </si>
  <si>
    <t>АӘД пәні мұғалімі</t>
  </si>
  <si>
    <t>Жалпы</t>
  </si>
  <si>
    <t>Пәні</t>
  </si>
  <si>
    <t>Тексеретін дәптері</t>
  </si>
  <si>
    <t>Жұмашова Айгүл</t>
  </si>
  <si>
    <t>инфрматика</t>
  </si>
  <si>
    <t>дене тәрбиесі</t>
  </si>
  <si>
    <t>мамандығы</t>
  </si>
  <si>
    <t>АӘтД</t>
  </si>
  <si>
    <t>МАДС</t>
  </si>
  <si>
    <t>музка</t>
  </si>
  <si>
    <t>қол өнер</t>
  </si>
  <si>
    <t>бастауыш білім беру</t>
  </si>
  <si>
    <t>Үйден оқыту сағаттары</t>
  </si>
  <si>
    <t>Жұбаева Айгүл Қадырханқызы</t>
  </si>
  <si>
    <t>Байкобекова Лаззат Жолдасовна</t>
  </si>
  <si>
    <t>Мамыхова Нагима Амангелдиевна</t>
  </si>
  <si>
    <t>Жұмағұлбаева Жанар Қаленқызы</t>
  </si>
  <si>
    <t>Жақсыбергенова Раушан Маратқызы</t>
  </si>
  <si>
    <t>Файзуллаева Эленора Махмудбаевна</t>
  </si>
  <si>
    <t>Исаева Нагира Мухитовна</t>
  </si>
  <si>
    <t>көркем еңбек</t>
  </si>
  <si>
    <t>Сулейменова Ботакоз Сарсеновна</t>
  </si>
  <si>
    <t>Алтынбекқызы Әйгерім</t>
  </si>
  <si>
    <t>Нұржанбаева Динара Амангелдіқызы</t>
  </si>
  <si>
    <t>Паринова Замира Турегелдиевна</t>
  </si>
  <si>
    <t>Әмирдинов Талғат Шаметұлы</t>
  </si>
  <si>
    <t>Атабай Айдос Бақытұлы</t>
  </si>
  <si>
    <t>Сарыбаева Ақерке Аблайхановна</t>
  </si>
  <si>
    <t>Қыстаубаев Аманғали Ермаханбетович</t>
  </si>
  <si>
    <t>Қамбарова Динара Мұхаммеджанқызы</t>
  </si>
  <si>
    <t>Колжанова Руман Сарсенбековна</t>
  </si>
  <si>
    <t>Жумабеков Қанат Сейтбекович</t>
  </si>
  <si>
    <t>Дене шынықтыру</t>
  </si>
  <si>
    <t>Жандуалиева Меруерт Елкондиевна</t>
  </si>
  <si>
    <t xml:space="preserve">Математика </t>
  </si>
  <si>
    <t>Сарманова Эркиной Мирзаймовна</t>
  </si>
  <si>
    <t>Оспанова Фарида Бейсенқызы</t>
  </si>
  <si>
    <t>Химия -биология</t>
  </si>
  <si>
    <t>Жусипов Самат Байсынович</t>
  </si>
  <si>
    <t>Сабденова Альбина Әкімжанқызы</t>
  </si>
  <si>
    <t>Ағылшын тілі</t>
  </si>
  <si>
    <t>Мақұлбаева Ләззат Айтбайқызы</t>
  </si>
  <si>
    <t xml:space="preserve">Музыка </t>
  </si>
  <si>
    <t>Ысқақова Арайлым Мырзабекқызы</t>
  </si>
  <si>
    <t>Басарова Мадина Ерғазықызы</t>
  </si>
  <si>
    <t>Зауырбекова Майра Сайлауовна</t>
  </si>
  <si>
    <t>Интернат тәрбиешісі</t>
  </si>
  <si>
    <t>Камалова Надыра Тұрғынқызы</t>
  </si>
  <si>
    <t>Аткеева Мехри Жұмаханқызы</t>
  </si>
  <si>
    <t xml:space="preserve">Информатика </t>
  </si>
  <si>
    <t>Орыс тілі</t>
  </si>
  <si>
    <t>Төребаева Аяулым Бурабайқызы</t>
  </si>
  <si>
    <t>Өскенова Мәкен Мұратқызы</t>
  </si>
  <si>
    <t>Тулекенова Әсем Қаржаубайқызы</t>
  </si>
  <si>
    <t xml:space="preserve">Биология </t>
  </si>
  <si>
    <t>10.06.2021ж</t>
  </si>
  <si>
    <t>Мукашов Камбар Оспанович</t>
  </si>
  <si>
    <t xml:space="preserve">Тарих </t>
  </si>
  <si>
    <t>Орынбасарқызы Елмира</t>
  </si>
  <si>
    <t>Жумадилова Дилноза Рамазановна</t>
  </si>
  <si>
    <t xml:space="preserve">Бастауыш </t>
  </si>
  <si>
    <t>Оспанқызы Рысбибі</t>
  </si>
  <si>
    <t>Таңатова Алмагүл Аубәкірқызы</t>
  </si>
  <si>
    <t>Файзуллаева Арзухан Сайдуллаевна</t>
  </si>
  <si>
    <t xml:space="preserve">Ағылшын </t>
  </si>
  <si>
    <t>Сүлейменова Тұрғанай Жаңабайқызы</t>
  </si>
  <si>
    <t xml:space="preserve">Ергешова Гүлмира Райсовна </t>
  </si>
  <si>
    <t>Нүриддинова Гүлнар Ахметқызы</t>
  </si>
  <si>
    <t>Файзуллаева Лаура Махмудбаевна</t>
  </si>
  <si>
    <t>Көркем еңбек</t>
  </si>
  <si>
    <t>Әкімбек Инабат Оразханқызы</t>
  </si>
  <si>
    <t>Колхоз Сара Әскербекқызы</t>
  </si>
  <si>
    <t>Аманбаева Айдана Бақытжанқызы</t>
  </si>
  <si>
    <t xml:space="preserve">Матемаика </t>
  </si>
  <si>
    <t>Сердалиева Бибигуль Жандилдаевна</t>
  </si>
  <si>
    <t>Бастауыш сынып</t>
  </si>
  <si>
    <t>Садиева Гулгунай Бабировна</t>
  </si>
  <si>
    <t>Арыстанбай Зағира Амангелдіқызы</t>
  </si>
  <si>
    <t>Нұрбекова Гүлмира Кемелбековна</t>
  </si>
  <si>
    <t>Қазақ тілі мен әдебиеті</t>
  </si>
  <si>
    <t>Сатыбалдиева Гүлжамал Нығметқызы</t>
  </si>
  <si>
    <t>Нүркеева Саодат Атажановна</t>
  </si>
  <si>
    <t>Турсумбаева Пакизат  Кадиркуловна</t>
  </si>
  <si>
    <t xml:space="preserve">Абдуллаева Күлшат </t>
  </si>
  <si>
    <t>Имашова Гүлмира Абсабрқызы</t>
  </si>
  <si>
    <t>Исамидинова Гүлжан Басылханқызы</t>
  </si>
  <si>
    <t xml:space="preserve">Химия </t>
  </si>
  <si>
    <t>Медеубаева Салтанат Пернебайқызы</t>
  </si>
  <si>
    <t>Ибраева Ақнұр Қойлыбайқызы</t>
  </si>
  <si>
    <t>Алиева Назым Нұғманқызы</t>
  </si>
  <si>
    <t>Мұхаммеджанова Турсунай Хасанхановна</t>
  </si>
  <si>
    <t>Сәңкібаева Нәзира Дүйсенбіқызы</t>
  </si>
  <si>
    <t xml:space="preserve">Физика </t>
  </si>
  <si>
    <t>Ескерова Құндызай Маратқызы</t>
  </si>
  <si>
    <t>Қадиркулов Роман Алауович</t>
  </si>
  <si>
    <t>шбер</t>
  </si>
  <si>
    <t>Ергешова Дильяфруз Райсовна</t>
  </si>
  <si>
    <t>Жандәулетова Қаламқас</t>
  </si>
  <si>
    <t>Кенешбаева Гүлзада</t>
  </si>
  <si>
    <t>Тілеулиева Мейрамкүл Ахмолдиновна</t>
  </si>
  <si>
    <t>Серікқалиқызы Алима</t>
  </si>
  <si>
    <t>Қыстаубаева Нұргүл</t>
  </si>
  <si>
    <t>Мадияров Ербол Дәулетиярұлы</t>
  </si>
  <si>
    <t xml:space="preserve">Рашидов Бекзат </t>
  </si>
  <si>
    <t>Өменова Айзада Жексенқызы</t>
  </si>
  <si>
    <t>Нұржанбаева Жанар Қасымханқызы</t>
  </si>
  <si>
    <t>бастауш</t>
  </si>
  <si>
    <t>Әзібаева Бағила Қалқабайқызы</t>
  </si>
  <si>
    <t>Бастауыш</t>
  </si>
  <si>
    <t>Қарабаева Аманқыз</t>
  </si>
  <si>
    <t>Ергешова Маърифат Райсовна</t>
  </si>
  <si>
    <t>Орынтаева Жансая Алдаберген қызы</t>
  </si>
  <si>
    <t>Қойшыбаев Фарух Атамбаевич</t>
  </si>
  <si>
    <t xml:space="preserve">Дифектолог </t>
  </si>
  <si>
    <t>Абдрахманова Ирода</t>
  </si>
  <si>
    <t>Асенова Айса Акбаровна</t>
  </si>
  <si>
    <t>Нұржанбаев Абдрахман Амангелдіұлы</t>
  </si>
  <si>
    <t>Жакудеева Назым Смайловна</t>
  </si>
  <si>
    <t>Байдәулетова Айткүл</t>
  </si>
  <si>
    <t xml:space="preserve">География </t>
  </si>
  <si>
    <t>Дәдебаев Мансұр</t>
  </si>
  <si>
    <t>Мұратова Айнұр Мұратқызы</t>
  </si>
  <si>
    <t xml:space="preserve">Қазақ тілі </t>
  </si>
  <si>
    <t>Джакыпова Гүлнар</t>
  </si>
  <si>
    <t xml:space="preserve">Ералиева Ақбөбек </t>
  </si>
  <si>
    <t>Ибраева Айгүл Қойлыбайқызы</t>
  </si>
  <si>
    <t>Улымбаева Айсұлу Кулыбековна</t>
  </si>
  <si>
    <t>Танеев Бауыржан Тулембекович</t>
  </si>
  <si>
    <t>Аманбаева Ләззат</t>
  </si>
  <si>
    <t>Умиралиева Эльмира Махмудовна</t>
  </si>
  <si>
    <t>Джуасбаева Сарвиназ Омарханқызы</t>
  </si>
  <si>
    <t>Арыстанбек Ақнұр</t>
  </si>
  <si>
    <t>ағылшын</t>
  </si>
  <si>
    <t>Ижанова Мөлдір Тілеубекқызы</t>
  </si>
  <si>
    <t>Досанова Айгүл Досалықызы</t>
  </si>
  <si>
    <t>Шөкенова Қалдыкүл</t>
  </si>
  <si>
    <t>Сатыбалдиев Мұрат Нығметұлы</t>
  </si>
  <si>
    <t>Жумадилова Дилназ</t>
  </si>
  <si>
    <t xml:space="preserve">                           "Созақ" мектеп-гимназиясы КММ</t>
  </si>
  <si>
    <t xml:space="preserve">                  Мектеп директоры м.а:                         Н.Сейтмаханұлы                         </t>
  </si>
  <si>
    <t xml:space="preserve">          магистр дәрежесі бар педагогтарының тізімі  01.09.2023</t>
  </si>
  <si>
    <t xml:space="preserve">                               "Созақ" мектеп-гимназиясы КММ</t>
  </si>
  <si>
    <t>ағаш ұстасы</t>
  </si>
  <si>
    <r>
      <t xml:space="preserve">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b/>
        <sz val="12"/>
        <rFont val="Times New Roman"/>
        <family val="1"/>
        <charset val="204"/>
      </rPr>
      <t xml:space="preserve">  Мектеп директоры м.а:                         Н.Сейтмаханұлы </t>
    </r>
    <r>
      <rPr>
        <b/>
        <sz val="14"/>
        <rFont val="Times New Roman"/>
        <family val="1"/>
        <charset val="204"/>
      </rPr>
      <t xml:space="preserve">       </t>
    </r>
    <r>
      <rPr>
        <b/>
        <sz val="10"/>
        <rFont val="Times New Roman"/>
        <family val="1"/>
        <charset val="204"/>
      </rPr>
      <t xml:space="preserve">                 </t>
    </r>
  </si>
  <si>
    <t>7,05</t>
  </si>
  <si>
    <t>9,07</t>
  </si>
  <si>
    <t>9,09</t>
  </si>
  <si>
    <t>Досымбетова Күлбибі</t>
  </si>
  <si>
    <t>Ашырқұлова Құндыз</t>
  </si>
  <si>
    <t>05ай</t>
  </si>
  <si>
    <t>Батырова Мальвина</t>
  </si>
  <si>
    <t>2023 жыл MD №00024042655</t>
  </si>
  <si>
    <t>2021 жыл MD 00019335680</t>
  </si>
  <si>
    <t>Мирас университеті</t>
  </si>
  <si>
    <t>2022 жыл MD 00020439560</t>
  </si>
  <si>
    <t>Математика</t>
  </si>
  <si>
    <t>2021 жыл MD 00019711176</t>
  </si>
  <si>
    <t>Шымкент университеті</t>
  </si>
  <si>
    <t>Биология</t>
  </si>
  <si>
    <t>2023 жыл MD 00024004989</t>
  </si>
  <si>
    <t>Silkway Халықаралық университеті</t>
  </si>
  <si>
    <t>Бастауыш оқыту педагогикасы мен әдістемесі</t>
  </si>
  <si>
    <t>2019 жыл ЖООК-М № 0163867</t>
  </si>
  <si>
    <t>2023 жыл MD 00024041159</t>
  </si>
  <si>
    <t>педагог-псих</t>
  </si>
  <si>
    <t>Гимназия сағаттары</t>
  </si>
  <si>
    <t xml:space="preserve">                       "Созақ" мектеп-гимназиясы  КММ бойынша 
                   үйден оқыту сағаттары  1 қыркүйек 2023 жылдын  </t>
  </si>
  <si>
    <t xml:space="preserve">Созақ  ауданының білім бөлімінің </t>
  </si>
  <si>
    <t xml:space="preserve">"Созақ" мектеп-гимназиясы КММ </t>
  </si>
  <si>
    <t>оқушылар саны 01.09.2023ж.</t>
  </si>
  <si>
    <t>кл. Компл. Саны 01.09.2023ж.</t>
  </si>
  <si>
    <t>сынып саны 01.09.2023ж.</t>
  </si>
  <si>
    <t>куәік бухгалтер</t>
  </si>
  <si>
    <t>дошкола</t>
  </si>
  <si>
    <t xml:space="preserve">директорының м.а______________Н.Сейтмаханұлы </t>
  </si>
  <si>
    <t>енбек</t>
  </si>
  <si>
    <t>жахандық құзіреттілік</t>
  </si>
  <si>
    <t>инфоматика</t>
  </si>
  <si>
    <t>7,11</t>
  </si>
  <si>
    <t>8,08</t>
  </si>
  <si>
    <t>жаңартылған бағдарлама 30%</t>
  </si>
  <si>
    <t>кіші медициналық қызметкер</t>
  </si>
  <si>
    <t>Қосымша білім беру педагогы</t>
  </si>
  <si>
    <t xml:space="preserve"> психолог</t>
  </si>
  <si>
    <t>дефектолог</t>
  </si>
  <si>
    <t>логопед</t>
  </si>
  <si>
    <t xml:space="preserve">                         "Созақ" мектеп-гимназиясы  КММ бойынша 
                        гимназия сағаттары  1 қыркүйек 2023 жылдың  </t>
  </si>
  <si>
    <r>
      <t xml:space="preserve">                </t>
    </r>
    <r>
      <rPr>
        <b/>
        <sz val="12"/>
        <rFont val="Times New Roman"/>
        <family val="1"/>
        <charset val="204"/>
      </rPr>
      <t xml:space="preserve">  Мектеп директоры м.а:                         Н.Сейтмаханұлы</t>
    </r>
    <r>
      <rPr>
        <b/>
        <sz val="10"/>
        <rFont val="Times New Roman"/>
        <family val="1"/>
        <charset val="204"/>
      </rPr>
      <t xml:space="preserve">                         </t>
    </r>
  </si>
  <si>
    <t xml:space="preserve">                Мектеп директоры м.а:                         Н.Сейтмаханұлы                         </t>
  </si>
  <si>
    <t xml:space="preserve">                                                                                 Мектеп директоры м.а:                         Н.Сейтмаханұлы                         </t>
  </si>
  <si>
    <t xml:space="preserve">                                                                                "Созақ" мектеп-гимназиясы КММ бойынша</t>
  </si>
  <si>
    <t xml:space="preserve">                                                            педагогтарының дәптер тексеру бойынша сағат сандары  01.09.2023</t>
  </si>
  <si>
    <t xml:space="preserve">                                           "Созақ" мектеп-гимназиясы КММ</t>
  </si>
  <si>
    <t xml:space="preserve">                     педагогтарының біліктілік деңгейі бойынша тізімі  01.09.2023</t>
  </si>
  <si>
    <t xml:space="preserve">                        Мектеп директоры м.а:                         Н.Сейтмаханұлы  </t>
  </si>
  <si>
    <t>тарих, анықтама жоқ</t>
  </si>
  <si>
    <t>психолог,анықтама жоқ</t>
  </si>
  <si>
    <t>кітапхана ісі</t>
  </si>
  <si>
    <t>биология, бастауыш</t>
  </si>
  <si>
    <t>химия,анықтама жоқ</t>
  </si>
  <si>
    <t>тарих анықтама жоқ</t>
  </si>
  <si>
    <t>бастауыш анықтама жоқ</t>
  </si>
  <si>
    <t>биология,анықтама жоқ</t>
  </si>
  <si>
    <t>биолог,анықтама жоқ</t>
  </si>
  <si>
    <t>қазақ тілі,анықтама</t>
  </si>
  <si>
    <t>тарих,анақтама жоқ</t>
  </si>
  <si>
    <t>кәсіптік,анықтама жоқ</t>
  </si>
  <si>
    <t>Джуманазаров Бабыр</t>
  </si>
  <si>
    <t>информатика,анықтама жоқ</t>
  </si>
  <si>
    <t>география,анақтама жоқ</t>
  </si>
  <si>
    <t>медбике ісі анықтама жоқ</t>
  </si>
  <si>
    <t>бухглатер</t>
  </si>
  <si>
    <t>психолог, анықтама жоқ</t>
  </si>
  <si>
    <t xml:space="preserve">Созақ ауданының білім бөлімінің '"Созақ" </t>
  </si>
  <si>
    <t>____________________ Н.Сейтмаханұлы</t>
  </si>
  <si>
    <t>мектеп-гимназиясы КММ директорының 'м.а</t>
  </si>
  <si>
    <t>Дир тәрбие  жұмысы жөнін. орынбасары</t>
  </si>
  <si>
    <t>кәсіптік</t>
  </si>
  <si>
    <t>доп кф 1,3</t>
  </si>
  <si>
    <t>Қосымымша білім беру педаг дене шынықтыру</t>
  </si>
  <si>
    <t xml:space="preserve">Қосымымша білім беру педаг дене шынықтыру  </t>
  </si>
  <si>
    <t>көмекші тәрбиеші</t>
  </si>
  <si>
    <t>Дир оқу ісі жөніндегі орынбасары</t>
  </si>
  <si>
    <t>Дир тәрбие  ісі жөнін. орынбасары</t>
  </si>
  <si>
    <t xml:space="preserve">                                                           Созақ ауданының білім  бөлімінің "Созақ мектеп- гимназиясы"КММ-нің
                                          әкімшілік және азаматтық қызметкерлерінің 01 қыркүйек 2023 жылдын  тарификациялау тізімі</t>
  </si>
  <si>
    <t>Созақ ауданының білім бөлімінің  "Созақ мектеп-гимназиясы КММ-нің 
әкімшілік және азаматтық қызметкерлерінің 01 қыркүйек 2023 жылдын  тарификациялау тізімі</t>
  </si>
  <si>
    <t xml:space="preserve">Созақ ауданының білім бөлімінің "Созақ </t>
  </si>
  <si>
    <t>мектеп-гимназиясы" КММ директорының  м.а</t>
  </si>
  <si>
    <t xml:space="preserve">                                                                                                      Созақ ауданының білім бөлімінің  "Созақ" мектеп-гимназиясы  КММ-нің 
                                                                                                    педагог қызметкерлерінің  13 қазан 2023 жылдын  қайта тарификациялау тізімі</t>
  </si>
  <si>
    <t>Созақ ауданының білім бөлімінің  "Созақ мектеп-гимназиясы КММ-нің 
әкімшілік және азаматтық қызметкерлерінің 13 қыркүйек 2023 жылдын қайта тарификациялау тізімі</t>
  </si>
  <si>
    <t>Созақ ауданының білім бөлімінің  "Созақ мектеп-гимназиясы КММ-нің 
әкімшілік және азаматтық қызметкерлерінің 17 қазан 2023 жылдын  қайта тарификациялау тізімі</t>
  </si>
  <si>
    <t>Манабаева Күлшат</t>
  </si>
  <si>
    <t xml:space="preserve">                                                                                                      Созақ ауданының білім бөлімінің  "Созақ" мектеп-гимназиясы  КММ-нің 
                                                                                                    педагог қызметкерлерінің  19 қазан 2023 жылдын қайта тарификациялау тізімі</t>
  </si>
  <si>
    <t xml:space="preserve">Улымбаева Айсұлу </t>
  </si>
  <si>
    <t xml:space="preserve">                                               2023-2024 оқу жылды </t>
  </si>
  <si>
    <t xml:space="preserve">    Созақ ауданының блім бөлімінің  "Созақ" мектеп- гимназиясы" КММ-нің </t>
  </si>
  <si>
    <t xml:space="preserve">      педагог әкімшілік және азаматтық қызметкерлерінің штаттық кестесі</t>
  </si>
  <si>
    <t xml:space="preserve">    Созақ ауданының блім бөлімінің  "Созақ" мектеп- гимназияс  КММ-нің </t>
  </si>
  <si>
    <t xml:space="preserve">                         педагогтарының сағаттық жүктемелерінің кестесі</t>
  </si>
  <si>
    <t xml:space="preserve">                Мектеп директоры м.а:                         Н.Сейтмаханұлы  </t>
  </si>
  <si>
    <t xml:space="preserve">директоры______________А.Улымбаева </t>
  </si>
  <si>
    <t>Тұрғанбек Ұлзада</t>
  </si>
  <si>
    <t xml:space="preserve">                                                                                                      Созақ ауданының білім бөлімінің  "Созақ" мектеп-гимназиясы  КММ-нің 
                                                                                                    педагог қызметкерлерді  16 қараша 2023 жылы қайта тарификациялау тізімі</t>
  </si>
  <si>
    <t>Жамалбек Айгерім</t>
  </si>
  <si>
    <t>3,05</t>
  </si>
  <si>
    <t xml:space="preserve">                                                                                                      Созақ ауданының білім бөлімінің  "Созақ" мектеп-гимназиясы  КММ-нің 
                                                                                                    педагог қызметкерлерінің  6 қараша 2023 жылдын  қайта тарификациялау тізімі</t>
  </si>
  <si>
    <t>директоры______________ А.Улымбаева</t>
  </si>
  <si>
    <t xml:space="preserve">директоры_____________А.Улымбаева </t>
  </si>
  <si>
    <t xml:space="preserve">                                                                                                      Созақ ауданының білім бөлімінің  "Созақ" мектеп-гимназиясы  КММ-нің 
                                                                                                    педагог қызметкерлерінің  16 қараша 2023 жылдын  қайта тарификациялау тізімі</t>
  </si>
</sst>
</file>

<file path=xl/styles.xml><?xml version="1.0" encoding="utf-8"?>
<styleSheet xmlns="http://schemas.openxmlformats.org/spreadsheetml/2006/main">
  <numFmts count="4">
    <numFmt numFmtId="164" formatCode="0.0"/>
    <numFmt numFmtId="165" formatCode="_(* #,##0.00_);_(* \(#,##0.00\);_(* &quot;-&quot;??_);_(@_)"/>
    <numFmt numFmtId="166" formatCode="#,##0.000"/>
    <numFmt numFmtId="167" formatCode="#,##0.0"/>
  </numFmts>
  <fonts count="39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0" fontId="1" fillId="0" borderId="0"/>
  </cellStyleXfs>
  <cellXfs count="607">
    <xf numFmtId="0" fontId="0" fillId="0" borderId="0" xfId="0"/>
    <xf numFmtId="0" fontId="6" fillId="0" borderId="0" xfId="2" applyFont="1" applyAlignment="1">
      <alignment vertical="center"/>
    </xf>
    <xf numFmtId="0" fontId="7" fillId="0" borderId="0" xfId="0" applyFont="1" applyFill="1"/>
    <xf numFmtId="164" fontId="6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164" fontId="6" fillId="0" borderId="0" xfId="2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0" applyFont="1" applyFill="1"/>
    <xf numFmtId="0" fontId="7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" fontId="6" fillId="0" borderId="0" xfId="2" applyNumberFormat="1" applyFont="1" applyAlignment="1">
      <alignment horizontal="center" vertical="center" wrapText="1"/>
    </xf>
    <xf numFmtId="1" fontId="6" fillId="0" borderId="0" xfId="2" applyNumberFormat="1" applyFont="1" applyAlignment="1">
      <alignment horizontal="left" vertical="center" wrapText="1"/>
    </xf>
    <xf numFmtId="3" fontId="10" fillId="0" borderId="0" xfId="0" applyNumberFormat="1" applyFont="1" applyFill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6" fillId="0" borderId="3" xfId="2" applyFont="1" applyBorder="1" applyAlignment="1">
      <alignment vertical="center" wrapText="1"/>
    </xf>
    <xf numFmtId="1" fontId="6" fillId="0" borderId="0" xfId="2" applyNumberFormat="1" applyFont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>
      <alignment vertical="center" wrapText="1"/>
    </xf>
    <xf numFmtId="0" fontId="6" fillId="0" borderId="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3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164" fontId="11" fillId="0" borderId="0" xfId="2" applyNumberFormat="1" applyFont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1" fontId="6" fillId="0" borderId="3" xfId="2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center"/>
    </xf>
    <xf numFmtId="0" fontId="6" fillId="0" borderId="2" xfId="2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9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3" fontId="13" fillId="2" borderId="3" xfId="0" applyNumberFormat="1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 wrapText="1"/>
    </xf>
    <xf numFmtId="0" fontId="13" fillId="3" borderId="3" xfId="3" applyFont="1" applyFill="1" applyBorder="1" applyAlignment="1">
      <alignment horizontal="center" vertical="center" wrapText="1"/>
    </xf>
    <xf numFmtId="0" fontId="13" fillId="3" borderId="3" xfId="3" applyFont="1" applyFill="1" applyBorder="1" applyAlignment="1">
      <alignment vertical="center" wrapText="1"/>
    </xf>
    <xf numFmtId="1" fontId="13" fillId="3" borderId="3" xfId="3" applyNumberFormat="1" applyFont="1" applyFill="1" applyBorder="1" applyAlignment="1">
      <alignment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1" fontId="13" fillId="3" borderId="3" xfId="4" applyNumberFormat="1" applyFont="1" applyFill="1" applyBorder="1" applyAlignment="1">
      <alignment horizontal="left" vertical="center" wrapText="1"/>
    </xf>
    <xf numFmtId="2" fontId="13" fillId="3" borderId="3" xfId="0" applyNumberFormat="1" applyFont="1" applyFill="1" applyBorder="1" applyAlignment="1">
      <alignment horizontal="left" vertical="center" wrapText="1"/>
    </xf>
    <xf numFmtId="4" fontId="13" fillId="3" borderId="3" xfId="0" applyNumberFormat="1" applyFont="1" applyFill="1" applyBorder="1" applyAlignment="1">
      <alignment horizontal="left" vertical="center" wrapText="1"/>
    </xf>
    <xf numFmtId="3" fontId="13" fillId="3" borderId="3" xfId="0" applyNumberFormat="1" applyFont="1" applyFill="1" applyBorder="1" applyAlignment="1">
      <alignment horizontal="left" vertical="center" wrapText="1"/>
    </xf>
    <xf numFmtId="3" fontId="13" fillId="3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10" fillId="2" borderId="0" xfId="0" applyFont="1" applyFill="1"/>
    <xf numFmtId="0" fontId="15" fillId="2" borderId="3" xfId="0" applyFont="1" applyFill="1" applyBorder="1" applyAlignment="1">
      <alignment horizontal="left" vertical="top" wrapText="1"/>
    </xf>
    <xf numFmtId="166" fontId="10" fillId="2" borderId="3" xfId="0" applyNumberFormat="1" applyFont="1" applyFill="1" applyBorder="1" applyAlignment="1">
      <alignment vertical="top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17" fillId="0" borderId="0" xfId="0" applyFont="1" applyFill="1" applyAlignment="1">
      <alignment horizontal="center"/>
    </xf>
    <xf numFmtId="3" fontId="0" fillId="0" borderId="0" xfId="0" applyNumberFormat="1" applyFill="1"/>
    <xf numFmtId="0" fontId="7" fillId="2" borderId="0" xfId="0" applyFont="1" applyFill="1" applyAlignment="1">
      <alignment vertical="center"/>
    </xf>
    <xf numFmtId="1" fontId="6" fillId="2" borderId="0" xfId="2" applyNumberFormat="1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vertical="top" wrapText="1"/>
    </xf>
    <xf numFmtId="4" fontId="15" fillId="2" borderId="3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166" fontId="10" fillId="2" borderId="8" xfId="0" applyNumberFormat="1" applyFont="1" applyFill="1" applyBorder="1" applyAlignment="1">
      <alignment vertical="top" wrapText="1"/>
    </xf>
    <xf numFmtId="0" fontId="10" fillId="2" borderId="3" xfId="0" applyFont="1" applyFill="1" applyBorder="1" applyAlignment="1"/>
    <xf numFmtId="0" fontId="15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2" fontId="21" fillId="2" borderId="8" xfId="0" applyNumberFormat="1" applyFont="1" applyFill="1" applyBorder="1" applyAlignment="1">
      <alignment horizontal="center" vertical="center" wrapText="1"/>
    </xf>
    <xf numFmtId="3" fontId="10" fillId="2" borderId="3" xfId="3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top"/>
    </xf>
    <xf numFmtId="0" fontId="10" fillId="2" borderId="3" xfId="0" applyFont="1" applyFill="1" applyBorder="1" applyAlignment="1">
      <alignment vertical="top"/>
    </xf>
    <xf numFmtId="0" fontId="23" fillId="0" borderId="0" xfId="2" applyFont="1"/>
    <xf numFmtId="0" fontId="23" fillId="0" borderId="0" xfId="11" applyFont="1"/>
    <xf numFmtId="0" fontId="22" fillId="0" borderId="7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 shrinkToFit="1"/>
    </xf>
    <xf numFmtId="0" fontId="22" fillId="0" borderId="3" xfId="12" applyFont="1" applyBorder="1" applyAlignment="1">
      <alignment horizontal="center" vertical="center"/>
    </xf>
    <xf numFmtId="0" fontId="22" fillId="0" borderId="3" xfId="2" applyFont="1" applyBorder="1" applyAlignment="1">
      <alignment horizontal="center"/>
    </xf>
    <xf numFmtId="0" fontId="22" fillId="0" borderId="3" xfId="12" applyFont="1" applyBorder="1" applyAlignment="1">
      <alignment horizontal="center"/>
    </xf>
    <xf numFmtId="0" fontId="23" fillId="0" borderId="0" xfId="11" applyFont="1" applyAlignment="1">
      <alignment horizontal="center"/>
    </xf>
    <xf numFmtId="0" fontId="23" fillId="0" borderId="3" xfId="2" applyFont="1" applyBorder="1" applyAlignment="1">
      <alignment horizontal="center" vertical="top"/>
    </xf>
    <xf numFmtId="0" fontId="23" fillId="0" borderId="3" xfId="2" applyFont="1" applyBorder="1" applyAlignment="1">
      <alignment horizontal="left" vertical="top"/>
    </xf>
    <xf numFmtId="0" fontId="23" fillId="0" borderId="3" xfId="12" applyFont="1" applyBorder="1" applyAlignment="1">
      <alignment horizontal="center" vertical="top"/>
    </xf>
    <xf numFmtId="0" fontId="23" fillId="0" borderId="3" xfId="12" applyFont="1" applyBorder="1" applyAlignment="1">
      <alignment horizontal="center" vertical="top" wrapText="1"/>
    </xf>
    <xf numFmtId="0" fontId="23" fillId="0" borderId="3" xfId="2" applyFont="1" applyBorder="1" applyAlignment="1">
      <alignment horizontal="left" vertical="top" wrapText="1"/>
    </xf>
    <xf numFmtId="0" fontId="24" fillId="0" borderId="3" xfId="12" applyFont="1" applyBorder="1" applyAlignment="1">
      <alignment horizontal="center" vertical="top" wrapText="1"/>
    </xf>
    <xf numFmtId="0" fontId="23" fillId="2" borderId="3" xfId="2" applyFont="1" applyFill="1" applyBorder="1" applyAlignment="1">
      <alignment horizontal="center" vertical="top"/>
    </xf>
    <xf numFmtId="0" fontId="24" fillId="0" borderId="3" xfId="12" applyFont="1" applyFill="1" applyBorder="1" applyAlignment="1">
      <alignment horizontal="center" vertical="top" wrapText="1"/>
    </xf>
    <xf numFmtId="0" fontId="6" fillId="0" borderId="0" xfId="11" applyFont="1"/>
    <xf numFmtId="0" fontId="22" fillId="0" borderId="0" xfId="2" applyFont="1" applyAlignment="1">
      <alignment horizontal="left" wrapText="1"/>
    </xf>
    <xf numFmtId="0" fontId="5" fillId="0" borderId="0" xfId="2"/>
    <xf numFmtId="0" fontId="22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0" fontId="6" fillId="0" borderId="0" xfId="2" applyFont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3" xfId="2" applyNumberFormat="1" applyFont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49" fontId="7" fillId="0" borderId="0" xfId="0" applyNumberFormat="1" applyFont="1" applyFill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wrapText="1"/>
    </xf>
    <xf numFmtId="0" fontId="26" fillId="0" borderId="0" xfId="2" applyFont="1"/>
    <xf numFmtId="0" fontId="27" fillId="0" borderId="0" xfId="2" applyFont="1"/>
    <xf numFmtId="0" fontId="28" fillId="0" borderId="0" xfId="2" applyFont="1"/>
    <xf numFmtId="0" fontId="7" fillId="0" borderId="0" xfId="2" applyFont="1" applyFill="1" applyBorder="1"/>
    <xf numFmtId="3" fontId="10" fillId="0" borderId="0" xfId="2" applyNumberFormat="1" applyFont="1" applyFill="1"/>
    <xf numFmtId="0" fontId="10" fillId="0" borderId="0" xfId="2" applyFont="1" applyFill="1"/>
    <xf numFmtId="0" fontId="7" fillId="0" borderId="0" xfId="2" applyFont="1" applyFill="1"/>
    <xf numFmtId="3" fontId="6" fillId="0" borderId="0" xfId="2" applyNumberFormat="1" applyFont="1" applyFill="1"/>
    <xf numFmtId="0" fontId="29" fillId="0" borderId="0" xfId="2" applyFont="1"/>
    <xf numFmtId="0" fontId="29" fillId="0" borderId="0" xfId="2" applyFont="1" applyBorder="1" applyAlignment="1">
      <alignment horizontal="left" vertical="center" wrapText="1"/>
    </xf>
    <xf numFmtId="0" fontId="27" fillId="0" borderId="3" xfId="2" applyFont="1" applyBorder="1" applyAlignment="1">
      <alignment horizontal="center" vertical="center" wrapText="1"/>
    </xf>
    <xf numFmtId="0" fontId="28" fillId="0" borderId="3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left" vertical="center" wrapText="1"/>
    </xf>
    <xf numFmtId="1" fontId="28" fillId="0" borderId="3" xfId="2" applyNumberFormat="1" applyFont="1" applyBorder="1" applyAlignment="1">
      <alignment horizontal="center" vertical="center" wrapText="1"/>
    </xf>
    <xf numFmtId="1" fontId="7" fillId="2" borderId="3" xfId="13" applyNumberFormat="1" applyFont="1" applyFill="1" applyBorder="1" applyAlignment="1">
      <alignment horizontal="center" vertical="center"/>
    </xf>
    <xf numFmtId="1" fontId="27" fillId="0" borderId="3" xfId="2" applyNumberFormat="1" applyFont="1" applyBorder="1" applyAlignment="1">
      <alignment horizontal="center" vertical="center" wrapText="1"/>
    </xf>
    <xf numFmtId="0" fontId="7" fillId="6" borderId="3" xfId="3" applyFont="1" applyFill="1" applyBorder="1" applyAlignment="1">
      <alignment horizontal="left" vertical="center" wrapText="1"/>
    </xf>
    <xf numFmtId="0" fontId="27" fillId="3" borderId="3" xfId="2" applyFont="1" applyFill="1" applyBorder="1" applyAlignment="1">
      <alignment horizontal="center" vertical="center" wrapText="1"/>
    </xf>
    <xf numFmtId="1" fontId="27" fillId="3" borderId="3" xfId="2" applyNumberFormat="1" applyFont="1" applyFill="1" applyBorder="1" applyAlignment="1">
      <alignment horizontal="center" vertical="center" wrapText="1"/>
    </xf>
    <xf numFmtId="4" fontId="28" fillId="0" borderId="3" xfId="2" applyNumberFormat="1" applyFont="1" applyBorder="1" applyAlignment="1">
      <alignment horizontal="center" vertical="center" wrapText="1"/>
    </xf>
    <xf numFmtId="2" fontId="27" fillId="3" borderId="3" xfId="2" applyNumberFormat="1" applyFont="1" applyFill="1" applyBorder="1" applyAlignment="1">
      <alignment horizontal="center" vertical="center" wrapText="1"/>
    </xf>
    <xf numFmtId="164" fontId="27" fillId="3" borderId="3" xfId="2" applyNumberFormat="1" applyFont="1" applyFill="1" applyBorder="1" applyAlignment="1">
      <alignment horizontal="center" vertical="center" wrapText="1"/>
    </xf>
    <xf numFmtId="0" fontId="27" fillId="3" borderId="3" xfId="2" applyFont="1" applyFill="1" applyBorder="1" applyAlignment="1">
      <alignment horizontal="left" vertical="center" wrapText="1"/>
    </xf>
    <xf numFmtId="166" fontId="7" fillId="2" borderId="3" xfId="2" applyNumberFormat="1" applyFont="1" applyFill="1" applyBorder="1" applyAlignment="1">
      <alignment vertical="top" wrapText="1"/>
    </xf>
    <xf numFmtId="0" fontId="7" fillId="0" borderId="3" xfId="2" applyFont="1" applyBorder="1" applyAlignment="1">
      <alignment vertical="center" wrapText="1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left" vertical="center"/>
    </xf>
    <xf numFmtId="0" fontId="27" fillId="0" borderId="0" xfId="2" applyFont="1" applyAlignment="1"/>
    <xf numFmtId="166" fontId="31" fillId="7" borderId="0" xfId="2" applyNumberFormat="1" applyFont="1" applyFill="1" applyBorder="1" applyAlignment="1">
      <alignment horizontal="left" vertical="top" wrapText="1"/>
    </xf>
    <xf numFmtId="0" fontId="32" fillId="0" borderId="0" xfId="2" applyFont="1"/>
    <xf numFmtId="0" fontId="33" fillId="0" borderId="0" xfId="2" applyFont="1"/>
    <xf numFmtId="0" fontId="17" fillId="0" borderId="0" xfId="2" applyFont="1"/>
    <xf numFmtId="0" fontId="7" fillId="0" borderId="3" xfId="2" applyFont="1" applyFill="1" applyBorder="1" applyAlignment="1">
      <alignment horizontal="left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/>
    <xf numFmtId="0" fontId="7" fillId="0" borderId="3" xfId="2" applyFont="1" applyFill="1" applyBorder="1" applyAlignment="1">
      <alignment wrapText="1"/>
    </xf>
    <xf numFmtId="166" fontId="34" fillId="2" borderId="3" xfId="2" applyNumberFormat="1" applyFont="1" applyFill="1" applyBorder="1" applyAlignment="1">
      <alignment horizontal="left" vertical="top" wrapText="1"/>
    </xf>
    <xf numFmtId="0" fontId="7" fillId="2" borderId="3" xfId="2" applyFont="1" applyFill="1" applyBorder="1" applyAlignment="1"/>
    <xf numFmtId="0" fontId="7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Border="1" applyAlignment="1"/>
    <xf numFmtId="166" fontId="27" fillId="2" borderId="0" xfId="0" applyNumberFormat="1" applyFont="1" applyFill="1" applyBorder="1" applyAlignment="1">
      <alignment vertical="top" wrapText="1"/>
    </xf>
    <xf numFmtId="0" fontId="6" fillId="6" borderId="0" xfId="3" applyFont="1" applyFill="1" applyBorder="1" applyAlignment="1">
      <alignment horizontal="left" vertical="center" wrapText="1"/>
    </xf>
    <xf numFmtId="0" fontId="6" fillId="0" borderId="0" xfId="2" applyFont="1" applyFill="1" applyAlignment="1">
      <alignment vertical="center" wrapText="1"/>
    </xf>
    <xf numFmtId="0" fontId="6" fillId="2" borderId="0" xfId="2" applyFont="1" applyFill="1" applyBorder="1" applyAlignment="1">
      <alignment vertical="center" wrapText="1"/>
    </xf>
    <xf numFmtId="2" fontId="10" fillId="3" borderId="3" xfId="0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6" fillId="2" borderId="3" xfId="2" applyFont="1" applyFill="1" applyBorder="1" applyAlignment="1">
      <alignment vertical="center"/>
    </xf>
    <xf numFmtId="1" fontId="6" fillId="2" borderId="3" xfId="2" applyNumberFormat="1" applyFont="1" applyFill="1" applyBorder="1" applyAlignment="1">
      <alignment vertical="center"/>
    </xf>
    <xf numFmtId="3" fontId="6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9" fillId="2" borderId="0" xfId="0" applyFont="1" applyFill="1"/>
    <xf numFmtId="1" fontId="6" fillId="0" borderId="0" xfId="2" applyNumberFormat="1" applyFont="1" applyAlignment="1">
      <alignment vertical="center"/>
    </xf>
    <xf numFmtId="2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/>
    <xf numFmtId="1" fontId="13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1" fontId="13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3" fontId="10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166" fontId="10" fillId="2" borderId="3" xfId="0" applyNumberFormat="1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vertical="top" wrapText="1"/>
    </xf>
    <xf numFmtId="166" fontId="10" fillId="2" borderId="7" xfId="0" applyNumberFormat="1" applyFont="1" applyFill="1" applyBorder="1" applyAlignment="1">
      <alignment wrapText="1"/>
    </xf>
    <xf numFmtId="0" fontId="10" fillId="2" borderId="1" xfId="2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wrapText="1"/>
    </xf>
    <xf numFmtId="2" fontId="10" fillId="2" borderId="3" xfId="2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166" fontId="24" fillId="0" borderId="3" xfId="0" applyNumberFormat="1" applyFont="1" applyBorder="1" applyAlignment="1">
      <alignment vertical="top" wrapText="1"/>
    </xf>
    <xf numFmtId="166" fontId="23" fillId="2" borderId="8" xfId="0" applyNumberFormat="1" applyFont="1" applyFill="1" applyBorder="1" applyAlignment="1">
      <alignment vertical="top" wrapText="1"/>
    </xf>
    <xf numFmtId="166" fontId="24" fillId="0" borderId="3" xfId="0" applyNumberFormat="1" applyFont="1" applyBorder="1" applyAlignment="1">
      <alignment horizontal="left" vertical="center" wrapText="1"/>
    </xf>
    <xf numFmtId="166" fontId="24" fillId="2" borderId="3" xfId="0" applyNumberFormat="1" applyFont="1" applyFill="1" applyBorder="1" applyAlignment="1">
      <alignment vertical="top" wrapText="1"/>
    </xf>
    <xf numFmtId="0" fontId="7" fillId="2" borderId="3" xfId="0" applyFont="1" applyFill="1" applyBorder="1" applyAlignment="1">
      <alignment wrapText="1"/>
    </xf>
    <xf numFmtId="166" fontId="10" fillId="2" borderId="3" xfId="2" applyNumberFormat="1" applyFont="1" applyFill="1" applyBorder="1" applyAlignment="1">
      <alignment vertical="top" wrapText="1"/>
    </xf>
    <xf numFmtId="1" fontId="6" fillId="0" borderId="0" xfId="2" applyNumberFormat="1" applyFont="1" applyAlignment="1">
      <alignment vertical="center"/>
    </xf>
    <xf numFmtId="1" fontId="6" fillId="0" borderId="0" xfId="2" applyNumberFormat="1" applyFont="1" applyAlignment="1">
      <alignment horizontal="left" vertical="center"/>
    </xf>
    <xf numFmtId="1" fontId="6" fillId="0" borderId="0" xfId="2" applyNumberFormat="1" applyFont="1" applyAlignment="1">
      <alignment vertical="center"/>
    </xf>
    <xf numFmtId="0" fontId="10" fillId="2" borderId="3" xfId="3" applyFont="1" applyFill="1" applyBorder="1" applyAlignment="1">
      <alignment horizontal="left" vertical="center" wrapText="1"/>
    </xf>
    <xf numFmtId="0" fontId="10" fillId="2" borderId="7" xfId="3" applyFont="1" applyFill="1" applyBorder="1" applyAlignment="1">
      <alignment horizontal="left" vertical="center" wrapText="1"/>
    </xf>
    <xf numFmtId="1" fontId="10" fillId="2" borderId="3" xfId="3" applyNumberFormat="1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left" vertical="center" wrapText="1"/>
    </xf>
    <xf numFmtId="0" fontId="6" fillId="2" borderId="0" xfId="0" applyFont="1" applyFill="1"/>
    <xf numFmtId="0" fontId="33" fillId="0" borderId="3" xfId="2" applyFont="1" applyBorder="1" applyAlignment="1">
      <alignment horizontal="center" vertical="center" wrapText="1"/>
    </xf>
    <xf numFmtId="1" fontId="28" fillId="2" borderId="3" xfId="2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164" fontId="10" fillId="2" borderId="3" xfId="2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left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/>
    </xf>
    <xf numFmtId="164" fontId="7" fillId="2" borderId="0" xfId="0" applyNumberFormat="1" applyFont="1" applyFill="1"/>
    <xf numFmtId="0" fontId="10" fillId="2" borderId="3" xfId="6" applyFont="1" applyFill="1" applyBorder="1" applyAlignment="1">
      <alignment horizontal="center"/>
    </xf>
    <xf numFmtId="0" fontId="6" fillId="2" borderId="0" xfId="2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vertical="center"/>
    </xf>
    <xf numFmtId="166" fontId="15" fillId="2" borderId="3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36" fillId="0" borderId="0" xfId="0" applyFont="1"/>
    <xf numFmtId="0" fontId="37" fillId="0" borderId="0" xfId="0" applyFont="1"/>
    <xf numFmtId="0" fontId="6" fillId="0" borderId="0" xfId="0" applyFont="1"/>
    <xf numFmtId="0" fontId="22" fillId="0" borderId="3" xfId="7" applyFont="1" applyBorder="1" applyAlignment="1">
      <alignment horizontal="center" vertical="center" wrapText="1"/>
    </xf>
    <xf numFmtId="0" fontId="22" fillId="0" borderId="3" xfId="7" applyFont="1" applyBorder="1" applyAlignment="1">
      <alignment horizontal="center"/>
    </xf>
    <xf numFmtId="0" fontId="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3" fillId="0" borderId="3" xfId="0" applyFont="1" applyBorder="1" applyAlignment="1">
      <alignment horizontal="left" vertical="top"/>
    </xf>
    <xf numFmtId="0" fontId="13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/>
    </xf>
    <xf numFmtId="0" fontId="0" fillId="0" borderId="3" xfId="0" applyBorder="1"/>
    <xf numFmtId="0" fontId="13" fillId="0" borderId="0" xfId="0" applyFont="1"/>
    <xf numFmtId="0" fontId="5" fillId="0" borderId="0" xfId="0" applyFont="1"/>
    <xf numFmtId="0" fontId="13" fillId="0" borderId="3" xfId="0" applyFont="1" applyBorder="1"/>
    <xf numFmtId="0" fontId="37" fillId="0" borderId="3" xfId="0" applyFont="1" applyBorder="1"/>
    <xf numFmtId="0" fontId="10" fillId="2" borderId="1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0" fillId="2" borderId="8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14" fontId="10" fillId="3" borderId="3" xfId="0" applyNumberFormat="1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/>
    </xf>
    <xf numFmtId="3" fontId="10" fillId="2" borderId="0" xfId="0" applyNumberFormat="1" applyFont="1" applyFill="1"/>
    <xf numFmtId="0" fontId="14" fillId="2" borderId="0" xfId="0" applyFont="1" applyFill="1"/>
    <xf numFmtId="1" fontId="6" fillId="2" borderId="0" xfId="2" applyNumberFormat="1" applyFont="1" applyFill="1" applyAlignment="1">
      <alignment vertical="center"/>
    </xf>
    <xf numFmtId="0" fontId="7" fillId="2" borderId="0" xfId="0" applyFont="1" applyFill="1" applyBorder="1"/>
    <xf numFmtId="0" fontId="6" fillId="2" borderId="0" xfId="2" applyFont="1" applyFill="1" applyAlignment="1">
      <alignment vertical="center"/>
    </xf>
    <xf numFmtId="166" fontId="15" fillId="2" borderId="8" xfId="0" applyNumberFormat="1" applyFont="1" applyFill="1" applyBorder="1" applyAlignment="1">
      <alignment vertical="top" wrapText="1"/>
    </xf>
    <xf numFmtId="0" fontId="10" fillId="2" borderId="3" xfId="2" applyFont="1" applyFill="1" applyBorder="1" applyAlignment="1" applyProtection="1">
      <alignment horizontal="left" vertical="center" wrapText="1"/>
    </xf>
    <xf numFmtId="1" fontId="10" fillId="2" borderId="3" xfId="2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 applyProtection="1">
      <alignment horizontal="center" vertical="center" wrapText="1"/>
    </xf>
    <xf numFmtId="4" fontId="15" fillId="2" borderId="8" xfId="0" applyNumberFormat="1" applyFont="1" applyFill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top" wrapText="1"/>
    </xf>
    <xf numFmtId="166" fontId="15" fillId="2" borderId="3" xfId="0" applyNumberFormat="1" applyFont="1" applyFill="1" applyBorder="1" applyAlignment="1">
      <alignment vertical="top"/>
    </xf>
    <xf numFmtId="0" fontId="10" fillId="2" borderId="8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left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0" fillId="2" borderId="3" xfId="10" applyFont="1" applyFill="1" applyBorder="1" applyAlignment="1">
      <alignment vertical="center" wrapText="1"/>
    </xf>
    <xf numFmtId="3" fontId="14" fillId="2" borderId="3" xfId="0" applyNumberFormat="1" applyFont="1" applyFill="1" applyBorder="1" applyAlignment="1">
      <alignment horizontal="center" vertical="center"/>
    </xf>
    <xf numFmtId="166" fontId="15" fillId="2" borderId="3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top" wrapText="1"/>
    </xf>
    <xf numFmtId="166" fontId="15" fillId="2" borderId="9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/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/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/>
    <xf numFmtId="0" fontId="10" fillId="2" borderId="0" xfId="0" applyFont="1" applyFill="1" applyAlignment="1">
      <alignment vertical="center"/>
    </xf>
    <xf numFmtId="0" fontId="10" fillId="2" borderId="3" xfId="0" applyFont="1" applyFill="1" applyBorder="1" applyAlignment="1">
      <alignment horizontal="left" vertical="top"/>
    </xf>
    <xf numFmtId="0" fontId="0" fillId="2" borderId="0" xfId="0" applyFill="1"/>
    <xf numFmtId="0" fontId="13" fillId="2" borderId="3" xfId="0" applyFont="1" applyFill="1" applyBorder="1" applyAlignment="1">
      <alignment horizontal="left" vertical="top"/>
    </xf>
    <xf numFmtId="0" fontId="13" fillId="2" borderId="3" xfId="0" applyFont="1" applyFill="1" applyBorder="1" applyAlignment="1">
      <alignment vertical="top" wrapText="1"/>
    </xf>
    <xf numFmtId="14" fontId="10" fillId="2" borderId="3" xfId="0" applyNumberFormat="1" applyFont="1" applyFill="1" applyBorder="1" applyAlignment="1">
      <alignment horizontal="left" vertical="top" wrapText="1"/>
    </xf>
    <xf numFmtId="14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4" borderId="3" xfId="0" quotePrefix="1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6" fillId="3" borderId="3" xfId="12" applyFont="1" applyFill="1" applyBorder="1" applyAlignment="1">
      <alignment horizontal="center" vertical="center"/>
    </xf>
    <xf numFmtId="0" fontId="6" fillId="3" borderId="3" xfId="12" applyFont="1" applyFill="1" applyBorder="1" applyAlignment="1">
      <alignment horizontal="left" vertical="top"/>
    </xf>
    <xf numFmtId="0" fontId="22" fillId="3" borderId="3" xfId="11" applyFont="1" applyFill="1" applyBorder="1" applyAlignment="1">
      <alignment horizontal="center" vertical="top"/>
    </xf>
    <xf numFmtId="1" fontId="6" fillId="3" borderId="3" xfId="12" applyNumberFormat="1" applyFont="1" applyFill="1" applyBorder="1" applyAlignment="1">
      <alignment horizontal="center" vertical="top"/>
    </xf>
    <xf numFmtId="0" fontId="6" fillId="3" borderId="3" xfId="12" applyFont="1" applyFill="1" applyBorder="1" applyAlignment="1">
      <alignment horizontal="center" vertical="top"/>
    </xf>
    <xf numFmtId="0" fontId="7" fillId="2" borderId="9" xfId="2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wrapText="1"/>
    </xf>
    <xf numFmtId="0" fontId="7" fillId="2" borderId="3" xfId="2" applyFont="1" applyFill="1" applyBorder="1" applyAlignment="1">
      <alignment wrapText="1"/>
    </xf>
    <xf numFmtId="3" fontId="28" fillId="2" borderId="3" xfId="2" applyNumberFormat="1" applyFont="1" applyFill="1" applyBorder="1" applyAlignment="1">
      <alignment horizontal="center" vertical="center" wrapText="1"/>
    </xf>
    <xf numFmtId="4" fontId="28" fillId="2" borderId="3" xfId="2" applyNumberFormat="1" applyFont="1" applyFill="1" applyBorder="1" applyAlignment="1">
      <alignment horizontal="center" vertical="center" wrapText="1"/>
    </xf>
    <xf numFmtId="167" fontId="28" fillId="2" borderId="3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left" vertical="top"/>
    </xf>
    <xf numFmtId="0" fontId="22" fillId="2" borderId="3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 shrinkToFit="1"/>
    </xf>
    <xf numFmtId="0" fontId="22" fillId="2" borderId="3" xfId="7" applyFont="1" applyFill="1" applyBorder="1" applyAlignment="1">
      <alignment horizontal="center" vertical="center" wrapText="1"/>
    </xf>
    <xf numFmtId="0" fontId="10" fillId="2" borderId="3" xfId="2" applyFont="1" applyFill="1" applyBorder="1"/>
    <xf numFmtId="0" fontId="23" fillId="2" borderId="3" xfId="7" applyFont="1" applyFill="1" applyBorder="1" applyAlignment="1">
      <alignment horizontal="left"/>
    </xf>
    <xf numFmtId="0" fontId="23" fillId="2" borderId="3" xfId="8" applyFont="1" applyFill="1" applyBorder="1"/>
    <xf numFmtId="0" fontId="23" fillId="2" borderId="3" xfId="8" applyFont="1" applyFill="1" applyBorder="1" applyAlignment="1">
      <alignment horizontal="left"/>
    </xf>
    <xf numFmtId="0" fontId="13" fillId="3" borderId="6" xfId="3" applyFont="1" applyFill="1" applyBorder="1" applyAlignment="1">
      <alignment horizontal="center" vertical="center" wrapText="1"/>
    </xf>
    <xf numFmtId="2" fontId="13" fillId="3" borderId="3" xfId="3" applyNumberFormat="1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vertical="center" wrapText="1"/>
    </xf>
    <xf numFmtId="0" fontId="13" fillId="3" borderId="1" xfId="3" applyFont="1" applyFill="1" applyBorder="1" applyAlignment="1">
      <alignment vertical="center"/>
    </xf>
    <xf numFmtId="0" fontId="13" fillId="3" borderId="3" xfId="3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vertical="center"/>
    </xf>
    <xf numFmtId="2" fontId="13" fillId="3" borderId="3" xfId="3" applyNumberFormat="1" applyFont="1" applyFill="1" applyBorder="1" applyAlignment="1">
      <alignment horizontal="center" vertical="center" wrapText="1"/>
    </xf>
    <xf numFmtId="1" fontId="13" fillId="3" borderId="3" xfId="3" applyNumberFormat="1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167" fontId="13" fillId="3" borderId="3" xfId="0" applyNumberFormat="1" applyFont="1" applyFill="1" applyBorder="1" applyAlignment="1">
      <alignment horizontal="center" vertical="center" wrapText="1"/>
    </xf>
    <xf numFmtId="0" fontId="22" fillId="3" borderId="13" xfId="2" applyFont="1" applyFill="1" applyBorder="1" applyAlignment="1">
      <alignment vertical="center" wrapText="1"/>
    </xf>
    <xf numFmtId="0" fontId="22" fillId="3" borderId="21" xfId="2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3" fontId="13" fillId="3" borderId="1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7" xfId="16" applyFont="1" applyFill="1" applyBorder="1" applyAlignment="1">
      <alignment horizontal="left" wrapText="1"/>
    </xf>
    <xf numFmtId="0" fontId="10" fillId="0" borderId="1" xfId="0" applyFont="1" applyBorder="1"/>
    <xf numFmtId="0" fontId="10" fillId="0" borderId="3" xfId="0" applyFont="1" applyBorder="1" applyAlignment="1">
      <alignment horizontal="center" vertical="top"/>
    </xf>
    <xf numFmtId="0" fontId="10" fillId="2" borderId="3" xfId="2" applyFont="1" applyFill="1" applyBorder="1" applyAlignment="1">
      <alignment horizontal="left"/>
    </xf>
    <xf numFmtId="0" fontId="10" fillId="2" borderId="8" xfId="2" applyFont="1" applyFill="1" applyBorder="1" applyAlignment="1">
      <alignment horizontal="left"/>
    </xf>
    <xf numFmtId="1" fontId="10" fillId="2" borderId="3" xfId="2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/>
    </xf>
    <xf numFmtId="0" fontId="13" fillId="3" borderId="3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/>
    </xf>
    <xf numFmtId="3" fontId="13" fillId="8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3" fillId="2" borderId="3" xfId="0" applyNumberFormat="1" applyFont="1" applyFill="1" applyBorder="1" applyAlignment="1">
      <alignment horizontal="center" vertical="center"/>
    </xf>
    <xf numFmtId="49" fontId="10" fillId="2" borderId="3" xfId="2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2" fontId="10" fillId="2" borderId="3" xfId="0" applyNumberFormat="1" applyFont="1" applyFill="1" applyBorder="1" applyAlignment="1">
      <alignment horizontal="left"/>
    </xf>
    <xf numFmtId="2" fontId="10" fillId="2" borderId="3" xfId="6" applyNumberFormat="1" applyFont="1" applyFill="1" applyBorder="1" applyAlignment="1">
      <alignment horizontal="left" vertical="center"/>
    </xf>
    <xf numFmtId="2" fontId="10" fillId="2" borderId="3" xfId="2" applyNumberFormat="1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left" vertical="center" wrapText="1"/>
    </xf>
    <xf numFmtId="0" fontId="10" fillId="2" borderId="3" xfId="6" applyFont="1" applyFill="1" applyBorder="1" applyAlignment="1">
      <alignment horizontal="left" vertical="center"/>
    </xf>
    <xf numFmtId="2" fontId="10" fillId="2" borderId="3" xfId="6" applyNumberFormat="1" applyFont="1" applyFill="1" applyBorder="1" applyAlignment="1">
      <alignment horizontal="left"/>
    </xf>
    <xf numFmtId="0" fontId="0" fillId="0" borderId="0" xfId="0" applyAlignment="1"/>
    <xf numFmtId="0" fontId="13" fillId="2" borderId="3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1" fontId="6" fillId="0" borderId="0" xfId="2" applyNumberFormat="1" applyFont="1" applyAlignment="1">
      <alignment horizontal="left" vertical="center"/>
    </xf>
    <xf numFmtId="1" fontId="6" fillId="0" borderId="0" xfId="2" quotePrefix="1" applyNumberFormat="1" applyFont="1" applyAlignment="1">
      <alignment horizontal="left" vertical="center"/>
    </xf>
    <xf numFmtId="0" fontId="10" fillId="2" borderId="3" xfId="2" quotePrefix="1" applyFont="1" applyFill="1" applyBorder="1" applyAlignment="1">
      <alignment horizontal="center" vertical="center"/>
    </xf>
    <xf numFmtId="166" fontId="7" fillId="2" borderId="3" xfId="2" applyNumberFormat="1" applyFont="1" applyFill="1" applyBorder="1" applyAlignment="1">
      <alignment horizontal="left" vertical="top" wrapText="1"/>
    </xf>
    <xf numFmtId="2" fontId="28" fillId="0" borderId="3" xfId="2" applyNumberFormat="1" applyFont="1" applyBorder="1" applyAlignment="1">
      <alignment horizontal="center" vertical="center" wrapText="1"/>
    </xf>
    <xf numFmtId="0" fontId="7" fillId="0" borderId="3" xfId="2" quotePrefix="1" applyFont="1" applyBorder="1" applyAlignment="1">
      <alignment horizontal="left" vertical="center" wrapText="1"/>
    </xf>
    <xf numFmtId="0" fontId="7" fillId="0" borderId="3" xfId="2" quotePrefix="1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vertical="top"/>
    </xf>
    <xf numFmtId="0" fontId="10" fillId="2" borderId="3" xfId="3" quotePrefix="1" applyFont="1" applyFill="1" applyBorder="1" applyAlignment="1">
      <alignment horizontal="left" vertical="center" wrapText="1"/>
    </xf>
    <xf numFmtId="164" fontId="10" fillId="2" borderId="3" xfId="0" applyNumberFormat="1" applyFont="1" applyFill="1" applyBorder="1" applyAlignment="1">
      <alignment horizontal="left" wrapText="1"/>
    </xf>
    <xf numFmtId="0" fontId="10" fillId="2" borderId="7" xfId="16" applyFont="1" applyFill="1" applyBorder="1" applyAlignment="1">
      <alignment horizontal="left"/>
    </xf>
    <xf numFmtId="0" fontId="10" fillId="2" borderId="3" xfId="16" applyFont="1" applyFill="1" applyBorder="1" applyAlignment="1">
      <alignment horizontal="left"/>
    </xf>
    <xf numFmtId="166" fontId="10" fillId="2" borderId="7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17" fillId="0" borderId="0" xfId="0" applyFont="1"/>
    <xf numFmtId="0" fontId="6" fillId="2" borderId="0" xfId="7" applyFont="1" applyFill="1" applyBorder="1" applyAlignment="1">
      <alignment horizontal="center" vertical="center"/>
    </xf>
    <xf numFmtId="0" fontId="6" fillId="2" borderId="0" xfId="7" applyFont="1" applyFill="1" applyBorder="1" applyAlignment="1">
      <alignment horizontal="left" vertical="top"/>
    </xf>
    <xf numFmtId="2" fontId="22" fillId="2" borderId="0" xfId="8" applyNumberFormat="1" applyFont="1" applyFill="1" applyBorder="1" applyAlignment="1">
      <alignment horizontal="center" vertical="top"/>
    </xf>
    <xf numFmtId="1" fontId="22" fillId="2" borderId="0" xfId="8" applyNumberFormat="1" applyFont="1" applyFill="1" applyBorder="1" applyAlignment="1">
      <alignment horizontal="center" vertical="top"/>
    </xf>
    <xf numFmtId="0" fontId="23" fillId="2" borderId="3" xfId="2" applyFont="1" applyFill="1" applyBorder="1" applyAlignment="1">
      <alignment horizontal="center"/>
    </xf>
    <xf numFmtId="0" fontId="23" fillId="2" borderId="3" xfId="8" applyFont="1" applyFill="1" applyBorder="1" applyAlignment="1">
      <alignment horizontal="center"/>
    </xf>
    <xf numFmtId="164" fontId="10" fillId="2" borderId="3" xfId="0" applyNumberFormat="1" applyFont="1" applyFill="1" applyBorder="1" applyAlignment="1">
      <alignment horizontal="left" vertical="center"/>
    </xf>
    <xf numFmtId="4" fontId="10" fillId="2" borderId="3" xfId="0" applyNumberFormat="1" applyFont="1" applyFill="1" applyBorder="1" applyAlignment="1">
      <alignment horizontal="left"/>
    </xf>
    <xf numFmtId="4" fontId="10" fillId="2" borderId="3" xfId="0" applyNumberFormat="1" applyFont="1" applyFill="1" applyBorder="1" applyAlignment="1">
      <alignment horizontal="center"/>
    </xf>
    <xf numFmtId="4" fontId="10" fillId="4" borderId="7" xfId="0" applyNumberFormat="1" applyFont="1" applyFill="1" applyBorder="1" applyAlignment="1">
      <alignment horizontal="left" vertical="center" wrapText="1"/>
    </xf>
    <xf numFmtId="2" fontId="10" fillId="2" borderId="3" xfId="0" applyNumberFormat="1" applyFont="1" applyFill="1" applyBorder="1" applyAlignment="1">
      <alignment horizontal="left" vertical="center"/>
    </xf>
    <xf numFmtId="49" fontId="10" fillId="2" borderId="7" xfId="0" applyNumberFormat="1" applyFont="1" applyFill="1" applyBorder="1" applyAlignment="1">
      <alignment horizontal="left" vertical="center"/>
    </xf>
    <xf numFmtId="4" fontId="10" fillId="2" borderId="7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left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/>
    <xf numFmtId="0" fontId="6" fillId="2" borderId="0" xfId="0" applyFont="1" applyFill="1" applyBorder="1" applyAlignment="1">
      <alignment horizontal="center" vertical="center"/>
    </xf>
    <xf numFmtId="0" fontId="17" fillId="2" borderId="0" xfId="0" applyFont="1" applyFill="1" applyAlignment="1"/>
    <xf numFmtId="9" fontId="13" fillId="2" borderId="3" xfId="0" applyNumberFormat="1" applyFont="1" applyFill="1" applyBorder="1" applyAlignment="1">
      <alignment horizontal="center" vertical="center" wrapText="1"/>
    </xf>
    <xf numFmtId="166" fontId="14" fillId="2" borderId="3" xfId="0" applyNumberFormat="1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5" fillId="2" borderId="3" xfId="0" quotePrefix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166" fontId="14" fillId="2" borderId="3" xfId="0" applyNumberFormat="1" applyFont="1" applyFill="1" applyBorder="1" applyAlignment="1">
      <alignment vertical="top" wrapText="1"/>
    </xf>
    <xf numFmtId="166" fontId="10" fillId="2" borderId="3" xfId="0" quotePrefix="1" applyNumberFormat="1" applyFont="1" applyFill="1" applyBorder="1" applyAlignment="1">
      <alignment horizontal="left" vertical="top" wrapText="1"/>
    </xf>
    <xf numFmtId="166" fontId="15" fillId="2" borderId="3" xfId="0" quotePrefix="1" applyNumberFormat="1" applyFont="1" applyFill="1" applyBorder="1" applyAlignment="1">
      <alignment horizontal="left" vertical="top" wrapText="1"/>
    </xf>
    <xf numFmtId="166" fontId="14" fillId="2" borderId="3" xfId="0" quotePrefix="1" applyNumberFormat="1" applyFont="1" applyFill="1" applyBorder="1" applyAlignment="1">
      <alignment horizontal="left" vertical="top" wrapText="1"/>
    </xf>
    <xf numFmtId="0" fontId="6" fillId="2" borderId="0" xfId="2" quotePrefix="1" applyFont="1" applyFill="1" applyAlignment="1">
      <alignment horizontal="left" vertical="center"/>
    </xf>
    <xf numFmtId="1" fontId="6" fillId="2" borderId="0" xfId="2" quotePrefix="1" applyNumberFormat="1" applyFont="1" applyFill="1" applyAlignment="1">
      <alignment horizontal="left" vertical="center"/>
    </xf>
    <xf numFmtId="3" fontId="13" fillId="2" borderId="12" xfId="0" applyNumberFormat="1" applyFont="1" applyFill="1" applyBorder="1" applyAlignment="1">
      <alignment horizontal="center" vertical="center" wrapText="1"/>
    </xf>
    <xf numFmtId="167" fontId="10" fillId="2" borderId="3" xfId="0" applyNumberFormat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1" fontId="6" fillId="0" borderId="0" xfId="2" applyNumberFormat="1" applyFont="1" applyAlignment="1">
      <alignment vertical="center"/>
    </xf>
    <xf numFmtId="0" fontId="0" fillId="0" borderId="0" xfId="0" applyAlignment="1"/>
    <xf numFmtId="9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1" fontId="6" fillId="0" borderId="0" xfId="2" applyNumberFormat="1" applyFont="1" applyAlignment="1">
      <alignment horizontal="left" vertical="center"/>
    </xf>
    <xf numFmtId="166" fontId="10" fillId="2" borderId="9" xfId="0" applyNumberFormat="1" applyFont="1" applyFill="1" applyBorder="1" applyAlignment="1">
      <alignment vertical="top" wrapText="1"/>
    </xf>
    <xf numFmtId="166" fontId="6" fillId="2" borderId="0" xfId="0" applyNumberFormat="1" applyFont="1" applyFill="1" applyBorder="1" applyAlignment="1">
      <alignment vertical="top" wrapText="1"/>
    </xf>
    <xf numFmtId="0" fontId="10" fillId="0" borderId="3" xfId="2" applyFont="1" applyBorder="1" applyAlignment="1">
      <alignment horizontal="left" vertical="center" wrapText="1"/>
    </xf>
    <xf numFmtId="0" fontId="13" fillId="3" borderId="13" xfId="2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3" fontId="7" fillId="2" borderId="0" xfId="0" applyNumberFormat="1" applyFont="1" applyFill="1"/>
    <xf numFmtId="3" fontId="10" fillId="2" borderId="0" xfId="0" applyNumberFormat="1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0" borderId="0" xfId="2" applyFont="1" applyAlignment="1">
      <alignment horizontal="left" vertical="center"/>
    </xf>
    <xf numFmtId="1" fontId="6" fillId="0" borderId="0" xfId="2" applyNumberFormat="1" applyFont="1" applyAlignment="1">
      <alignment horizontal="left" vertical="center"/>
    </xf>
    <xf numFmtId="0" fontId="23" fillId="9" borderId="3" xfId="8" applyFont="1" applyFill="1" applyBorder="1"/>
    <xf numFmtId="0" fontId="22" fillId="9" borderId="3" xfId="8" applyFont="1" applyFill="1" applyBorder="1" applyAlignment="1">
      <alignment horizontal="left"/>
    </xf>
    <xf numFmtId="0" fontId="22" fillId="9" borderId="3" xfId="8" applyFont="1" applyFill="1" applyBorder="1" applyAlignment="1">
      <alignment horizontal="center"/>
    </xf>
    <xf numFmtId="0" fontId="6" fillId="9" borderId="3" xfId="7" applyFont="1" applyFill="1" applyBorder="1" applyAlignment="1">
      <alignment horizontal="center" vertical="center"/>
    </xf>
    <xf numFmtId="0" fontId="6" fillId="9" borderId="3" xfId="7" applyFont="1" applyFill="1" applyBorder="1" applyAlignment="1">
      <alignment horizontal="left" vertical="top"/>
    </xf>
    <xf numFmtId="2" fontId="22" fillId="9" borderId="3" xfId="8" applyNumberFormat="1" applyFont="1" applyFill="1" applyBorder="1" applyAlignment="1">
      <alignment horizontal="center" vertical="top"/>
    </xf>
    <xf numFmtId="1" fontId="22" fillId="9" borderId="3" xfId="8" applyNumberFormat="1" applyFont="1" applyFill="1" applyBorder="1" applyAlignment="1">
      <alignment horizontal="center" vertical="top"/>
    </xf>
    <xf numFmtId="3" fontId="13" fillId="2" borderId="3" xfId="0" applyNumberFormat="1" applyFont="1" applyFill="1" applyBorder="1" applyAlignment="1">
      <alignment horizontal="center" vertical="center" wrapText="1"/>
    </xf>
    <xf numFmtId="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" fontId="6" fillId="0" borderId="0" xfId="2" applyNumberFormat="1" applyFont="1" applyAlignment="1">
      <alignment vertical="center"/>
    </xf>
    <xf numFmtId="0" fontId="0" fillId="0" borderId="0" xfId="0" applyAlignment="1"/>
    <xf numFmtId="9" fontId="13" fillId="2" borderId="3" xfId="0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1" fontId="6" fillId="0" borderId="0" xfId="2" applyNumberFormat="1" applyFont="1" applyAlignment="1">
      <alignment vertical="center"/>
    </xf>
    <xf numFmtId="0" fontId="0" fillId="0" borderId="0" xfId="0" applyAlignment="1"/>
    <xf numFmtId="9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1" fontId="6" fillId="0" borderId="0" xfId="2" applyNumberFormat="1" applyFont="1" applyAlignment="1">
      <alignment horizontal="left" vertical="center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/>
    </xf>
    <xf numFmtId="4" fontId="10" fillId="3" borderId="3" xfId="0" applyNumberFormat="1" applyFont="1" applyFill="1" applyBorder="1" applyAlignment="1">
      <alignment horizontal="left" vertical="center"/>
    </xf>
    <xf numFmtId="4" fontId="10" fillId="3" borderId="3" xfId="0" applyNumberFormat="1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1" fontId="10" fillId="3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0" fontId="7" fillId="3" borderId="0" xfId="0" applyFont="1" applyFill="1"/>
    <xf numFmtId="0" fontId="26" fillId="0" borderId="0" xfId="2" applyFont="1" applyAlignment="1">
      <alignment wrapText="1"/>
    </xf>
    <xf numFmtId="0" fontId="0" fillId="0" borderId="0" xfId="0" applyAlignment="1">
      <alignment wrapText="1"/>
    </xf>
    <xf numFmtId="0" fontId="6" fillId="2" borderId="0" xfId="2" applyFont="1" applyFill="1" applyBorder="1" applyAlignment="1">
      <alignment horizontal="left" vertical="center" wrapText="1"/>
    </xf>
    <xf numFmtId="0" fontId="27" fillId="0" borderId="14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  <xf numFmtId="0" fontId="26" fillId="0" borderId="0" xfId="2" applyFont="1" applyAlignment="1">
      <alignment horizontal="center"/>
    </xf>
    <xf numFmtId="0" fontId="6" fillId="0" borderId="0" xfId="2" quotePrefix="1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 wrapText="1"/>
    </xf>
    <xf numFmtId="0" fontId="26" fillId="0" borderId="5" xfId="2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7" fillId="2" borderId="0" xfId="0" applyFont="1" applyFill="1" applyAlignment="1"/>
    <xf numFmtId="0" fontId="22" fillId="2" borderId="0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3" fontId="13" fillId="2" borderId="3" xfId="0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horizontal="left" vertical="center" wrapText="1"/>
    </xf>
    <xf numFmtId="0" fontId="13" fillId="3" borderId="4" xfId="3" applyFont="1" applyFill="1" applyBorder="1" applyAlignment="1">
      <alignment horizontal="left" vertical="center" wrapText="1"/>
    </xf>
    <xf numFmtId="0" fontId="13" fillId="3" borderId="1" xfId="2" applyFont="1" applyFill="1" applyBorder="1" applyAlignment="1">
      <alignment horizontal="left" vertical="center" wrapText="1"/>
    </xf>
    <xf numFmtId="0" fontId="13" fillId="3" borderId="2" xfId="2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13" fillId="3" borderId="12" xfId="2" applyFont="1" applyFill="1" applyBorder="1" applyAlignment="1">
      <alignment vertical="center" wrapText="1"/>
    </xf>
    <xf numFmtId="0" fontId="13" fillId="3" borderId="20" xfId="2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3" fillId="0" borderId="7" xfId="16" applyFont="1" applyFill="1" applyBorder="1" applyAlignment="1">
      <alignment horizontal="center" vertical="center" wrapText="1"/>
    </xf>
    <xf numFmtId="0" fontId="13" fillId="0" borderId="8" xfId="16" applyFont="1" applyFill="1" applyBorder="1" applyAlignment="1">
      <alignment horizontal="center" vertical="center" wrapText="1"/>
    </xf>
    <xf numFmtId="3" fontId="13" fillId="0" borderId="7" xfId="16" applyNumberFormat="1" applyFont="1" applyFill="1" applyBorder="1" applyAlignment="1">
      <alignment horizontal="center" vertical="center" wrapText="1"/>
    </xf>
    <xf numFmtId="3" fontId="13" fillId="0" borderId="8" xfId="16" applyNumberFormat="1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6" fontId="27" fillId="0" borderId="0" xfId="0" applyNumberFormat="1" applyFont="1" applyBorder="1" applyAlignment="1">
      <alignment horizontal="left" vertical="center" wrapText="1"/>
    </xf>
    <xf numFmtId="166" fontId="27" fillId="2" borderId="0" xfId="0" applyNumberFormat="1" applyFont="1" applyFill="1" applyBorder="1" applyAlignment="1">
      <alignment horizontal="left" vertical="center" wrapText="1"/>
    </xf>
    <xf numFmtId="1" fontId="6" fillId="0" borderId="0" xfId="2" applyNumberFormat="1" applyFont="1" applyAlignment="1">
      <alignment vertical="center"/>
    </xf>
    <xf numFmtId="0" fontId="0" fillId="0" borderId="0" xfId="0" applyAlignment="1"/>
    <xf numFmtId="9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textRotation="90" wrapText="1"/>
    </xf>
    <xf numFmtId="9" fontId="13" fillId="2" borderId="3" xfId="0" applyNumberFormat="1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49" fontId="13" fillId="2" borderId="3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" fontId="6" fillId="0" borderId="0" xfId="2" applyNumberFormat="1" applyFont="1" applyAlignment="1">
      <alignment horizontal="left" vertical="center"/>
    </xf>
    <xf numFmtId="165" fontId="13" fillId="2" borderId="3" xfId="1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165" fontId="13" fillId="2" borderId="12" xfId="1" applyFont="1" applyFill="1" applyBorder="1" applyAlignment="1">
      <alignment horizontal="center" vertical="center" wrapText="1"/>
    </xf>
    <xf numFmtId="165" fontId="13" fillId="2" borderId="20" xfId="1" applyFont="1" applyFill="1" applyBorder="1" applyAlignment="1">
      <alignment horizontal="center" vertical="center" wrapText="1"/>
    </xf>
    <xf numFmtId="165" fontId="13" fillId="2" borderId="22" xfId="1" applyFont="1" applyFill="1" applyBorder="1" applyAlignment="1">
      <alignment horizontal="center" vertical="center" wrapText="1"/>
    </xf>
    <xf numFmtId="165" fontId="13" fillId="2" borderId="5" xfId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textRotation="90"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13" fillId="2" borderId="10" xfId="0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1 3 2" xfId="13"/>
    <cellStyle name="Обычный 2" xfId="2"/>
    <cellStyle name="Обычный 2 2" xfId="3"/>
    <cellStyle name="Обычный 2 2 3" xfId="4"/>
    <cellStyle name="Обычный 2 3" xfId="5"/>
    <cellStyle name="Обычный 2 6" xfId="14"/>
    <cellStyle name="Обычный 3" xfId="6"/>
    <cellStyle name="Обычный 3 4 4" xfId="7"/>
    <cellStyle name="Обычный 3 4 4 2" xfId="12"/>
    <cellStyle name="Обычный 3 8" xfId="8"/>
    <cellStyle name="Обычный 3 8 2" xfId="11"/>
    <cellStyle name="Обычный 4" xfId="9"/>
    <cellStyle name="Обычный 5" xfId="16"/>
    <cellStyle name="Обычный 6" xfId="17"/>
    <cellStyle name="Обычный_тариф 2008 -2009 ардак 2" xfId="10"/>
    <cellStyle name="Финансовый" xfId="1" builtinId="3"/>
    <cellStyle name="Финансовый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66"/>
  <sheetViews>
    <sheetView tabSelected="1" view="pageBreakPreview" topLeftCell="A40" zoomScaleSheetLayoutView="100" workbookViewId="0">
      <selection activeCell="G35" sqref="G35"/>
    </sheetView>
  </sheetViews>
  <sheetFormatPr defaultRowHeight="12.75"/>
  <cols>
    <col min="1" max="1" width="3.5703125" style="131" customWidth="1"/>
    <col min="2" max="2" width="37.85546875" style="131" customWidth="1"/>
    <col min="3" max="3" width="8.5703125" style="131" customWidth="1"/>
    <col min="4" max="4" width="9.85546875" style="131" customWidth="1"/>
    <col min="5" max="5" width="10.28515625" style="131" customWidth="1"/>
    <col min="6" max="6" width="10.5703125" style="131" customWidth="1"/>
    <col min="7" max="7" width="12.5703125" style="131" customWidth="1"/>
    <col min="8" max="10" width="12.28515625" style="131" customWidth="1"/>
    <col min="11" max="11" width="9.85546875" style="131" customWidth="1"/>
    <col min="12" max="12" width="8.140625" style="131" customWidth="1"/>
    <col min="13" max="13" width="12.42578125" style="131" customWidth="1"/>
    <col min="14" max="256" width="9.140625" style="131"/>
    <col min="257" max="257" width="3.28515625" style="131" customWidth="1"/>
    <col min="258" max="258" width="35.5703125" style="131" customWidth="1"/>
    <col min="259" max="259" width="8.5703125" style="131" customWidth="1"/>
    <col min="260" max="260" width="10.28515625" style="131" customWidth="1"/>
    <col min="261" max="261" width="9.140625" style="131"/>
    <col min="262" max="262" width="8.7109375" style="131" customWidth="1"/>
    <col min="263" max="263" width="9.85546875" style="131" customWidth="1"/>
    <col min="264" max="266" width="9.140625" style="131"/>
    <col min="267" max="267" width="9.85546875" style="131" customWidth="1"/>
    <col min="268" max="268" width="8.140625" style="131" customWidth="1"/>
    <col min="269" max="269" width="12.42578125" style="131" customWidth="1"/>
    <col min="270" max="512" width="9.140625" style="131"/>
    <col min="513" max="513" width="3.28515625" style="131" customWidth="1"/>
    <col min="514" max="514" width="35.5703125" style="131" customWidth="1"/>
    <col min="515" max="515" width="8.5703125" style="131" customWidth="1"/>
    <col min="516" max="516" width="10.28515625" style="131" customWidth="1"/>
    <col min="517" max="517" width="9.140625" style="131"/>
    <col min="518" max="518" width="8.7109375" style="131" customWidth="1"/>
    <col min="519" max="519" width="9.85546875" style="131" customWidth="1"/>
    <col min="520" max="522" width="9.140625" style="131"/>
    <col min="523" max="523" width="9.85546875" style="131" customWidth="1"/>
    <col min="524" max="524" width="8.140625" style="131" customWidth="1"/>
    <col min="525" max="525" width="12.42578125" style="131" customWidth="1"/>
    <col min="526" max="768" width="9.140625" style="131"/>
    <col min="769" max="769" width="3.28515625" style="131" customWidth="1"/>
    <col min="770" max="770" width="35.5703125" style="131" customWidth="1"/>
    <col min="771" max="771" width="8.5703125" style="131" customWidth="1"/>
    <col min="772" max="772" width="10.28515625" style="131" customWidth="1"/>
    <col min="773" max="773" width="9.140625" style="131"/>
    <col min="774" max="774" width="8.7109375" style="131" customWidth="1"/>
    <col min="775" max="775" width="9.85546875" style="131" customWidth="1"/>
    <col min="776" max="778" width="9.140625" style="131"/>
    <col min="779" max="779" width="9.85546875" style="131" customWidth="1"/>
    <col min="780" max="780" width="8.140625" style="131" customWidth="1"/>
    <col min="781" max="781" width="12.42578125" style="131" customWidth="1"/>
    <col min="782" max="1024" width="9.140625" style="131"/>
    <col min="1025" max="1025" width="3.28515625" style="131" customWidth="1"/>
    <col min="1026" max="1026" width="35.5703125" style="131" customWidth="1"/>
    <col min="1027" max="1027" width="8.5703125" style="131" customWidth="1"/>
    <col min="1028" max="1028" width="10.28515625" style="131" customWidth="1"/>
    <col min="1029" max="1029" width="9.140625" style="131"/>
    <col min="1030" max="1030" width="8.7109375" style="131" customWidth="1"/>
    <col min="1031" max="1031" width="9.85546875" style="131" customWidth="1"/>
    <col min="1032" max="1034" width="9.140625" style="131"/>
    <col min="1035" max="1035" width="9.85546875" style="131" customWidth="1"/>
    <col min="1036" max="1036" width="8.140625" style="131" customWidth="1"/>
    <col min="1037" max="1037" width="12.42578125" style="131" customWidth="1"/>
    <col min="1038" max="1280" width="9.140625" style="131"/>
    <col min="1281" max="1281" width="3.28515625" style="131" customWidth="1"/>
    <col min="1282" max="1282" width="35.5703125" style="131" customWidth="1"/>
    <col min="1283" max="1283" width="8.5703125" style="131" customWidth="1"/>
    <col min="1284" max="1284" width="10.28515625" style="131" customWidth="1"/>
    <col min="1285" max="1285" width="9.140625" style="131"/>
    <col min="1286" max="1286" width="8.7109375" style="131" customWidth="1"/>
    <col min="1287" max="1287" width="9.85546875" style="131" customWidth="1"/>
    <col min="1288" max="1290" width="9.140625" style="131"/>
    <col min="1291" max="1291" width="9.85546875" style="131" customWidth="1"/>
    <col min="1292" max="1292" width="8.140625" style="131" customWidth="1"/>
    <col min="1293" max="1293" width="12.42578125" style="131" customWidth="1"/>
    <col min="1294" max="1536" width="9.140625" style="131"/>
    <col min="1537" max="1537" width="3.28515625" style="131" customWidth="1"/>
    <col min="1538" max="1538" width="35.5703125" style="131" customWidth="1"/>
    <col min="1539" max="1539" width="8.5703125" style="131" customWidth="1"/>
    <col min="1540" max="1540" width="10.28515625" style="131" customWidth="1"/>
    <col min="1541" max="1541" width="9.140625" style="131"/>
    <col min="1542" max="1542" width="8.7109375" style="131" customWidth="1"/>
    <col min="1543" max="1543" width="9.85546875" style="131" customWidth="1"/>
    <col min="1544" max="1546" width="9.140625" style="131"/>
    <col min="1547" max="1547" width="9.85546875" style="131" customWidth="1"/>
    <col min="1548" max="1548" width="8.140625" style="131" customWidth="1"/>
    <col min="1549" max="1549" width="12.42578125" style="131" customWidth="1"/>
    <col min="1550" max="1792" width="9.140625" style="131"/>
    <col min="1793" max="1793" width="3.28515625" style="131" customWidth="1"/>
    <col min="1794" max="1794" width="35.5703125" style="131" customWidth="1"/>
    <col min="1795" max="1795" width="8.5703125" style="131" customWidth="1"/>
    <col min="1796" max="1796" width="10.28515625" style="131" customWidth="1"/>
    <col min="1797" max="1797" width="9.140625" style="131"/>
    <col min="1798" max="1798" width="8.7109375" style="131" customWidth="1"/>
    <col min="1799" max="1799" width="9.85546875" style="131" customWidth="1"/>
    <col min="1800" max="1802" width="9.140625" style="131"/>
    <col min="1803" max="1803" width="9.85546875" style="131" customWidth="1"/>
    <col min="1804" max="1804" width="8.140625" style="131" customWidth="1"/>
    <col min="1805" max="1805" width="12.42578125" style="131" customWidth="1"/>
    <col min="1806" max="2048" width="9.140625" style="131"/>
    <col min="2049" max="2049" width="3.28515625" style="131" customWidth="1"/>
    <col min="2050" max="2050" width="35.5703125" style="131" customWidth="1"/>
    <col min="2051" max="2051" width="8.5703125" style="131" customWidth="1"/>
    <col min="2052" max="2052" width="10.28515625" style="131" customWidth="1"/>
    <col min="2053" max="2053" width="9.140625" style="131"/>
    <col min="2054" max="2054" width="8.7109375" style="131" customWidth="1"/>
    <col min="2055" max="2055" width="9.85546875" style="131" customWidth="1"/>
    <col min="2056" max="2058" width="9.140625" style="131"/>
    <col min="2059" max="2059" width="9.85546875" style="131" customWidth="1"/>
    <col min="2060" max="2060" width="8.140625" style="131" customWidth="1"/>
    <col min="2061" max="2061" width="12.42578125" style="131" customWidth="1"/>
    <col min="2062" max="2304" width="9.140625" style="131"/>
    <col min="2305" max="2305" width="3.28515625" style="131" customWidth="1"/>
    <col min="2306" max="2306" width="35.5703125" style="131" customWidth="1"/>
    <col min="2307" max="2307" width="8.5703125" style="131" customWidth="1"/>
    <col min="2308" max="2308" width="10.28515625" style="131" customWidth="1"/>
    <col min="2309" max="2309" width="9.140625" style="131"/>
    <col min="2310" max="2310" width="8.7109375" style="131" customWidth="1"/>
    <col min="2311" max="2311" width="9.85546875" style="131" customWidth="1"/>
    <col min="2312" max="2314" width="9.140625" style="131"/>
    <col min="2315" max="2315" width="9.85546875" style="131" customWidth="1"/>
    <col min="2316" max="2316" width="8.140625" style="131" customWidth="1"/>
    <col min="2317" max="2317" width="12.42578125" style="131" customWidth="1"/>
    <col min="2318" max="2560" width="9.140625" style="131"/>
    <col min="2561" max="2561" width="3.28515625" style="131" customWidth="1"/>
    <col min="2562" max="2562" width="35.5703125" style="131" customWidth="1"/>
    <col min="2563" max="2563" width="8.5703125" style="131" customWidth="1"/>
    <col min="2564" max="2564" width="10.28515625" style="131" customWidth="1"/>
    <col min="2565" max="2565" width="9.140625" style="131"/>
    <col min="2566" max="2566" width="8.7109375" style="131" customWidth="1"/>
    <col min="2567" max="2567" width="9.85546875" style="131" customWidth="1"/>
    <col min="2568" max="2570" width="9.140625" style="131"/>
    <col min="2571" max="2571" width="9.85546875" style="131" customWidth="1"/>
    <col min="2572" max="2572" width="8.140625" style="131" customWidth="1"/>
    <col min="2573" max="2573" width="12.42578125" style="131" customWidth="1"/>
    <col min="2574" max="2816" width="9.140625" style="131"/>
    <col min="2817" max="2817" width="3.28515625" style="131" customWidth="1"/>
    <col min="2818" max="2818" width="35.5703125" style="131" customWidth="1"/>
    <col min="2819" max="2819" width="8.5703125" style="131" customWidth="1"/>
    <col min="2820" max="2820" width="10.28515625" style="131" customWidth="1"/>
    <col min="2821" max="2821" width="9.140625" style="131"/>
    <col min="2822" max="2822" width="8.7109375" style="131" customWidth="1"/>
    <col min="2823" max="2823" width="9.85546875" style="131" customWidth="1"/>
    <col min="2824" max="2826" width="9.140625" style="131"/>
    <col min="2827" max="2827" width="9.85546875" style="131" customWidth="1"/>
    <col min="2828" max="2828" width="8.140625" style="131" customWidth="1"/>
    <col min="2829" max="2829" width="12.42578125" style="131" customWidth="1"/>
    <col min="2830" max="3072" width="9.140625" style="131"/>
    <col min="3073" max="3073" width="3.28515625" style="131" customWidth="1"/>
    <col min="3074" max="3074" width="35.5703125" style="131" customWidth="1"/>
    <col min="3075" max="3075" width="8.5703125" style="131" customWidth="1"/>
    <col min="3076" max="3076" width="10.28515625" style="131" customWidth="1"/>
    <col min="3077" max="3077" width="9.140625" style="131"/>
    <col min="3078" max="3078" width="8.7109375" style="131" customWidth="1"/>
    <col min="3079" max="3079" width="9.85546875" style="131" customWidth="1"/>
    <col min="3080" max="3082" width="9.140625" style="131"/>
    <col min="3083" max="3083" width="9.85546875" style="131" customWidth="1"/>
    <col min="3084" max="3084" width="8.140625" style="131" customWidth="1"/>
    <col min="3085" max="3085" width="12.42578125" style="131" customWidth="1"/>
    <col min="3086" max="3328" width="9.140625" style="131"/>
    <col min="3329" max="3329" width="3.28515625" style="131" customWidth="1"/>
    <col min="3330" max="3330" width="35.5703125" style="131" customWidth="1"/>
    <col min="3331" max="3331" width="8.5703125" style="131" customWidth="1"/>
    <col min="3332" max="3332" width="10.28515625" style="131" customWidth="1"/>
    <col min="3333" max="3333" width="9.140625" style="131"/>
    <col min="3334" max="3334" width="8.7109375" style="131" customWidth="1"/>
    <col min="3335" max="3335" width="9.85546875" style="131" customWidth="1"/>
    <col min="3336" max="3338" width="9.140625" style="131"/>
    <col min="3339" max="3339" width="9.85546875" style="131" customWidth="1"/>
    <col min="3340" max="3340" width="8.140625" style="131" customWidth="1"/>
    <col min="3341" max="3341" width="12.42578125" style="131" customWidth="1"/>
    <col min="3342" max="3584" width="9.140625" style="131"/>
    <col min="3585" max="3585" width="3.28515625" style="131" customWidth="1"/>
    <col min="3586" max="3586" width="35.5703125" style="131" customWidth="1"/>
    <col min="3587" max="3587" width="8.5703125" style="131" customWidth="1"/>
    <col min="3588" max="3588" width="10.28515625" style="131" customWidth="1"/>
    <col min="3589" max="3589" width="9.140625" style="131"/>
    <col min="3590" max="3590" width="8.7109375" style="131" customWidth="1"/>
    <col min="3591" max="3591" width="9.85546875" style="131" customWidth="1"/>
    <col min="3592" max="3594" width="9.140625" style="131"/>
    <col min="3595" max="3595" width="9.85546875" style="131" customWidth="1"/>
    <col min="3596" max="3596" width="8.140625" style="131" customWidth="1"/>
    <col min="3597" max="3597" width="12.42578125" style="131" customWidth="1"/>
    <col min="3598" max="3840" width="9.140625" style="131"/>
    <col min="3841" max="3841" width="3.28515625" style="131" customWidth="1"/>
    <col min="3842" max="3842" width="35.5703125" style="131" customWidth="1"/>
    <col min="3843" max="3843" width="8.5703125" style="131" customWidth="1"/>
    <col min="3844" max="3844" width="10.28515625" style="131" customWidth="1"/>
    <col min="3845" max="3845" width="9.140625" style="131"/>
    <col min="3846" max="3846" width="8.7109375" style="131" customWidth="1"/>
    <col min="3847" max="3847" width="9.85546875" style="131" customWidth="1"/>
    <col min="3848" max="3850" width="9.140625" style="131"/>
    <col min="3851" max="3851" width="9.85546875" style="131" customWidth="1"/>
    <col min="3852" max="3852" width="8.140625" style="131" customWidth="1"/>
    <col min="3853" max="3853" width="12.42578125" style="131" customWidth="1"/>
    <col min="3854" max="4096" width="9.140625" style="131"/>
    <col min="4097" max="4097" width="3.28515625" style="131" customWidth="1"/>
    <col min="4098" max="4098" width="35.5703125" style="131" customWidth="1"/>
    <col min="4099" max="4099" width="8.5703125" style="131" customWidth="1"/>
    <col min="4100" max="4100" width="10.28515625" style="131" customWidth="1"/>
    <col min="4101" max="4101" width="9.140625" style="131"/>
    <col min="4102" max="4102" width="8.7109375" style="131" customWidth="1"/>
    <col min="4103" max="4103" width="9.85546875" style="131" customWidth="1"/>
    <col min="4104" max="4106" width="9.140625" style="131"/>
    <col min="4107" max="4107" width="9.85546875" style="131" customWidth="1"/>
    <col min="4108" max="4108" width="8.140625" style="131" customWidth="1"/>
    <col min="4109" max="4109" width="12.42578125" style="131" customWidth="1"/>
    <col min="4110" max="4352" width="9.140625" style="131"/>
    <col min="4353" max="4353" width="3.28515625" style="131" customWidth="1"/>
    <col min="4354" max="4354" width="35.5703125" style="131" customWidth="1"/>
    <col min="4355" max="4355" width="8.5703125" style="131" customWidth="1"/>
    <col min="4356" max="4356" width="10.28515625" style="131" customWidth="1"/>
    <col min="4357" max="4357" width="9.140625" style="131"/>
    <col min="4358" max="4358" width="8.7109375" style="131" customWidth="1"/>
    <col min="4359" max="4359" width="9.85546875" style="131" customWidth="1"/>
    <col min="4360" max="4362" width="9.140625" style="131"/>
    <col min="4363" max="4363" width="9.85546875" style="131" customWidth="1"/>
    <col min="4364" max="4364" width="8.140625" style="131" customWidth="1"/>
    <col min="4365" max="4365" width="12.42578125" style="131" customWidth="1"/>
    <col min="4366" max="4608" width="9.140625" style="131"/>
    <col min="4609" max="4609" width="3.28515625" style="131" customWidth="1"/>
    <col min="4610" max="4610" width="35.5703125" style="131" customWidth="1"/>
    <col min="4611" max="4611" width="8.5703125" style="131" customWidth="1"/>
    <col min="4612" max="4612" width="10.28515625" style="131" customWidth="1"/>
    <col min="4613" max="4613" width="9.140625" style="131"/>
    <col min="4614" max="4614" width="8.7109375" style="131" customWidth="1"/>
    <col min="4615" max="4615" width="9.85546875" style="131" customWidth="1"/>
    <col min="4616" max="4618" width="9.140625" style="131"/>
    <col min="4619" max="4619" width="9.85546875" style="131" customWidth="1"/>
    <col min="4620" max="4620" width="8.140625" style="131" customWidth="1"/>
    <col min="4621" max="4621" width="12.42578125" style="131" customWidth="1"/>
    <col min="4622" max="4864" width="9.140625" style="131"/>
    <col min="4865" max="4865" width="3.28515625" style="131" customWidth="1"/>
    <col min="4866" max="4866" width="35.5703125" style="131" customWidth="1"/>
    <col min="4867" max="4867" width="8.5703125" style="131" customWidth="1"/>
    <col min="4868" max="4868" width="10.28515625" style="131" customWidth="1"/>
    <col min="4869" max="4869" width="9.140625" style="131"/>
    <col min="4870" max="4870" width="8.7109375" style="131" customWidth="1"/>
    <col min="4871" max="4871" width="9.85546875" style="131" customWidth="1"/>
    <col min="4872" max="4874" width="9.140625" style="131"/>
    <col min="4875" max="4875" width="9.85546875" style="131" customWidth="1"/>
    <col min="4876" max="4876" width="8.140625" style="131" customWidth="1"/>
    <col min="4877" max="4877" width="12.42578125" style="131" customWidth="1"/>
    <col min="4878" max="5120" width="9.140625" style="131"/>
    <col min="5121" max="5121" width="3.28515625" style="131" customWidth="1"/>
    <col min="5122" max="5122" width="35.5703125" style="131" customWidth="1"/>
    <col min="5123" max="5123" width="8.5703125" style="131" customWidth="1"/>
    <col min="5124" max="5124" width="10.28515625" style="131" customWidth="1"/>
    <col min="5125" max="5125" width="9.140625" style="131"/>
    <col min="5126" max="5126" width="8.7109375" style="131" customWidth="1"/>
    <col min="5127" max="5127" width="9.85546875" style="131" customWidth="1"/>
    <col min="5128" max="5130" width="9.140625" style="131"/>
    <col min="5131" max="5131" width="9.85546875" style="131" customWidth="1"/>
    <col min="5132" max="5132" width="8.140625" style="131" customWidth="1"/>
    <col min="5133" max="5133" width="12.42578125" style="131" customWidth="1"/>
    <col min="5134" max="5376" width="9.140625" style="131"/>
    <col min="5377" max="5377" width="3.28515625" style="131" customWidth="1"/>
    <col min="5378" max="5378" width="35.5703125" style="131" customWidth="1"/>
    <col min="5379" max="5379" width="8.5703125" style="131" customWidth="1"/>
    <col min="5380" max="5380" width="10.28515625" style="131" customWidth="1"/>
    <col min="5381" max="5381" width="9.140625" style="131"/>
    <col min="5382" max="5382" width="8.7109375" style="131" customWidth="1"/>
    <col min="5383" max="5383" width="9.85546875" style="131" customWidth="1"/>
    <col min="5384" max="5386" width="9.140625" style="131"/>
    <col min="5387" max="5387" width="9.85546875" style="131" customWidth="1"/>
    <col min="5388" max="5388" width="8.140625" style="131" customWidth="1"/>
    <col min="5389" max="5389" width="12.42578125" style="131" customWidth="1"/>
    <col min="5390" max="5632" width="9.140625" style="131"/>
    <col min="5633" max="5633" width="3.28515625" style="131" customWidth="1"/>
    <col min="5634" max="5634" width="35.5703125" style="131" customWidth="1"/>
    <col min="5635" max="5635" width="8.5703125" style="131" customWidth="1"/>
    <col min="5636" max="5636" width="10.28515625" style="131" customWidth="1"/>
    <col min="5637" max="5637" width="9.140625" style="131"/>
    <col min="5638" max="5638" width="8.7109375" style="131" customWidth="1"/>
    <col min="5639" max="5639" width="9.85546875" style="131" customWidth="1"/>
    <col min="5640" max="5642" width="9.140625" style="131"/>
    <col min="5643" max="5643" width="9.85546875" style="131" customWidth="1"/>
    <col min="5644" max="5644" width="8.140625" style="131" customWidth="1"/>
    <col min="5645" max="5645" width="12.42578125" style="131" customWidth="1"/>
    <col min="5646" max="5888" width="9.140625" style="131"/>
    <col min="5889" max="5889" width="3.28515625" style="131" customWidth="1"/>
    <col min="5890" max="5890" width="35.5703125" style="131" customWidth="1"/>
    <col min="5891" max="5891" width="8.5703125" style="131" customWidth="1"/>
    <col min="5892" max="5892" width="10.28515625" style="131" customWidth="1"/>
    <col min="5893" max="5893" width="9.140625" style="131"/>
    <col min="5894" max="5894" width="8.7109375" style="131" customWidth="1"/>
    <col min="5895" max="5895" width="9.85546875" style="131" customWidth="1"/>
    <col min="5896" max="5898" width="9.140625" style="131"/>
    <col min="5899" max="5899" width="9.85546875" style="131" customWidth="1"/>
    <col min="5900" max="5900" width="8.140625" style="131" customWidth="1"/>
    <col min="5901" max="5901" width="12.42578125" style="131" customWidth="1"/>
    <col min="5902" max="6144" width="9.140625" style="131"/>
    <col min="6145" max="6145" width="3.28515625" style="131" customWidth="1"/>
    <col min="6146" max="6146" width="35.5703125" style="131" customWidth="1"/>
    <col min="6147" max="6147" width="8.5703125" style="131" customWidth="1"/>
    <col min="6148" max="6148" width="10.28515625" style="131" customWidth="1"/>
    <col min="6149" max="6149" width="9.140625" style="131"/>
    <col min="6150" max="6150" width="8.7109375" style="131" customWidth="1"/>
    <col min="6151" max="6151" width="9.85546875" style="131" customWidth="1"/>
    <col min="6152" max="6154" width="9.140625" style="131"/>
    <col min="6155" max="6155" width="9.85546875" style="131" customWidth="1"/>
    <col min="6156" max="6156" width="8.140625" style="131" customWidth="1"/>
    <col min="6157" max="6157" width="12.42578125" style="131" customWidth="1"/>
    <col min="6158" max="6400" width="9.140625" style="131"/>
    <col min="6401" max="6401" width="3.28515625" style="131" customWidth="1"/>
    <col min="6402" max="6402" width="35.5703125" style="131" customWidth="1"/>
    <col min="6403" max="6403" width="8.5703125" style="131" customWidth="1"/>
    <col min="6404" max="6404" width="10.28515625" style="131" customWidth="1"/>
    <col min="6405" max="6405" width="9.140625" style="131"/>
    <col min="6406" max="6406" width="8.7109375" style="131" customWidth="1"/>
    <col min="6407" max="6407" width="9.85546875" style="131" customWidth="1"/>
    <col min="6408" max="6410" width="9.140625" style="131"/>
    <col min="6411" max="6411" width="9.85546875" style="131" customWidth="1"/>
    <col min="6412" max="6412" width="8.140625" style="131" customWidth="1"/>
    <col min="6413" max="6413" width="12.42578125" style="131" customWidth="1"/>
    <col min="6414" max="6656" width="9.140625" style="131"/>
    <col min="6657" max="6657" width="3.28515625" style="131" customWidth="1"/>
    <col min="6658" max="6658" width="35.5703125" style="131" customWidth="1"/>
    <col min="6659" max="6659" width="8.5703125" style="131" customWidth="1"/>
    <col min="6660" max="6660" width="10.28515625" style="131" customWidth="1"/>
    <col min="6661" max="6661" width="9.140625" style="131"/>
    <col min="6662" max="6662" width="8.7109375" style="131" customWidth="1"/>
    <col min="6663" max="6663" width="9.85546875" style="131" customWidth="1"/>
    <col min="6664" max="6666" width="9.140625" style="131"/>
    <col min="6667" max="6667" width="9.85546875" style="131" customWidth="1"/>
    <col min="6668" max="6668" width="8.140625" style="131" customWidth="1"/>
    <col min="6669" max="6669" width="12.42578125" style="131" customWidth="1"/>
    <col min="6670" max="6912" width="9.140625" style="131"/>
    <col min="6913" max="6913" width="3.28515625" style="131" customWidth="1"/>
    <col min="6914" max="6914" width="35.5703125" style="131" customWidth="1"/>
    <col min="6915" max="6915" width="8.5703125" style="131" customWidth="1"/>
    <col min="6916" max="6916" width="10.28515625" style="131" customWidth="1"/>
    <col min="6917" max="6917" width="9.140625" style="131"/>
    <col min="6918" max="6918" width="8.7109375" style="131" customWidth="1"/>
    <col min="6919" max="6919" width="9.85546875" style="131" customWidth="1"/>
    <col min="6920" max="6922" width="9.140625" style="131"/>
    <col min="6923" max="6923" width="9.85546875" style="131" customWidth="1"/>
    <col min="6924" max="6924" width="8.140625" style="131" customWidth="1"/>
    <col min="6925" max="6925" width="12.42578125" style="131" customWidth="1"/>
    <col min="6926" max="7168" width="9.140625" style="131"/>
    <col min="7169" max="7169" width="3.28515625" style="131" customWidth="1"/>
    <col min="7170" max="7170" width="35.5703125" style="131" customWidth="1"/>
    <col min="7171" max="7171" width="8.5703125" style="131" customWidth="1"/>
    <col min="7172" max="7172" width="10.28515625" style="131" customWidth="1"/>
    <col min="7173" max="7173" width="9.140625" style="131"/>
    <col min="7174" max="7174" width="8.7109375" style="131" customWidth="1"/>
    <col min="7175" max="7175" width="9.85546875" style="131" customWidth="1"/>
    <col min="7176" max="7178" width="9.140625" style="131"/>
    <col min="7179" max="7179" width="9.85546875" style="131" customWidth="1"/>
    <col min="7180" max="7180" width="8.140625" style="131" customWidth="1"/>
    <col min="7181" max="7181" width="12.42578125" style="131" customWidth="1"/>
    <col min="7182" max="7424" width="9.140625" style="131"/>
    <col min="7425" max="7425" width="3.28515625" style="131" customWidth="1"/>
    <col min="7426" max="7426" width="35.5703125" style="131" customWidth="1"/>
    <col min="7427" max="7427" width="8.5703125" style="131" customWidth="1"/>
    <col min="7428" max="7428" width="10.28515625" style="131" customWidth="1"/>
    <col min="7429" max="7429" width="9.140625" style="131"/>
    <col min="7430" max="7430" width="8.7109375" style="131" customWidth="1"/>
    <col min="7431" max="7431" width="9.85546875" style="131" customWidth="1"/>
    <col min="7432" max="7434" width="9.140625" style="131"/>
    <col min="7435" max="7435" width="9.85546875" style="131" customWidth="1"/>
    <col min="7436" max="7436" width="8.140625" style="131" customWidth="1"/>
    <col min="7437" max="7437" width="12.42578125" style="131" customWidth="1"/>
    <col min="7438" max="7680" width="9.140625" style="131"/>
    <col min="7681" max="7681" width="3.28515625" style="131" customWidth="1"/>
    <col min="7682" max="7682" width="35.5703125" style="131" customWidth="1"/>
    <col min="7683" max="7683" width="8.5703125" style="131" customWidth="1"/>
    <col min="7684" max="7684" width="10.28515625" style="131" customWidth="1"/>
    <col min="7685" max="7685" width="9.140625" style="131"/>
    <col min="7686" max="7686" width="8.7109375" style="131" customWidth="1"/>
    <col min="7687" max="7687" width="9.85546875" style="131" customWidth="1"/>
    <col min="7688" max="7690" width="9.140625" style="131"/>
    <col min="7691" max="7691" width="9.85546875" style="131" customWidth="1"/>
    <col min="7692" max="7692" width="8.140625" style="131" customWidth="1"/>
    <col min="7693" max="7693" width="12.42578125" style="131" customWidth="1"/>
    <col min="7694" max="7936" width="9.140625" style="131"/>
    <col min="7937" max="7937" width="3.28515625" style="131" customWidth="1"/>
    <col min="7938" max="7938" width="35.5703125" style="131" customWidth="1"/>
    <col min="7939" max="7939" width="8.5703125" style="131" customWidth="1"/>
    <col min="7940" max="7940" width="10.28515625" style="131" customWidth="1"/>
    <col min="7941" max="7941" width="9.140625" style="131"/>
    <col min="7942" max="7942" width="8.7109375" style="131" customWidth="1"/>
    <col min="7943" max="7943" width="9.85546875" style="131" customWidth="1"/>
    <col min="7944" max="7946" width="9.140625" style="131"/>
    <col min="7947" max="7947" width="9.85546875" style="131" customWidth="1"/>
    <col min="7948" max="7948" width="8.140625" style="131" customWidth="1"/>
    <col min="7949" max="7949" width="12.42578125" style="131" customWidth="1"/>
    <col min="7950" max="8192" width="9.140625" style="131"/>
    <col min="8193" max="8193" width="3.28515625" style="131" customWidth="1"/>
    <col min="8194" max="8194" width="35.5703125" style="131" customWidth="1"/>
    <col min="8195" max="8195" width="8.5703125" style="131" customWidth="1"/>
    <col min="8196" max="8196" width="10.28515625" style="131" customWidth="1"/>
    <col min="8197" max="8197" width="9.140625" style="131"/>
    <col min="8198" max="8198" width="8.7109375" style="131" customWidth="1"/>
    <col min="8199" max="8199" width="9.85546875" style="131" customWidth="1"/>
    <col min="8200" max="8202" width="9.140625" style="131"/>
    <col min="8203" max="8203" width="9.85546875" style="131" customWidth="1"/>
    <col min="8204" max="8204" width="8.140625" style="131" customWidth="1"/>
    <col min="8205" max="8205" width="12.42578125" style="131" customWidth="1"/>
    <col min="8206" max="8448" width="9.140625" style="131"/>
    <col min="8449" max="8449" width="3.28515625" style="131" customWidth="1"/>
    <col min="8450" max="8450" width="35.5703125" style="131" customWidth="1"/>
    <col min="8451" max="8451" width="8.5703125" style="131" customWidth="1"/>
    <col min="8452" max="8452" width="10.28515625" style="131" customWidth="1"/>
    <col min="8453" max="8453" width="9.140625" style="131"/>
    <col min="8454" max="8454" width="8.7109375" style="131" customWidth="1"/>
    <col min="8455" max="8455" width="9.85546875" style="131" customWidth="1"/>
    <col min="8456" max="8458" width="9.140625" style="131"/>
    <col min="8459" max="8459" width="9.85546875" style="131" customWidth="1"/>
    <col min="8460" max="8460" width="8.140625" style="131" customWidth="1"/>
    <col min="8461" max="8461" width="12.42578125" style="131" customWidth="1"/>
    <col min="8462" max="8704" width="9.140625" style="131"/>
    <col min="8705" max="8705" width="3.28515625" style="131" customWidth="1"/>
    <col min="8706" max="8706" width="35.5703125" style="131" customWidth="1"/>
    <col min="8707" max="8707" width="8.5703125" style="131" customWidth="1"/>
    <col min="8708" max="8708" width="10.28515625" style="131" customWidth="1"/>
    <col min="8709" max="8709" width="9.140625" style="131"/>
    <col min="8710" max="8710" width="8.7109375" style="131" customWidth="1"/>
    <col min="8711" max="8711" width="9.85546875" style="131" customWidth="1"/>
    <col min="8712" max="8714" width="9.140625" style="131"/>
    <col min="8715" max="8715" width="9.85546875" style="131" customWidth="1"/>
    <col min="8716" max="8716" width="8.140625" style="131" customWidth="1"/>
    <col min="8717" max="8717" width="12.42578125" style="131" customWidth="1"/>
    <col min="8718" max="8960" width="9.140625" style="131"/>
    <col min="8961" max="8961" width="3.28515625" style="131" customWidth="1"/>
    <col min="8962" max="8962" width="35.5703125" style="131" customWidth="1"/>
    <col min="8963" max="8963" width="8.5703125" style="131" customWidth="1"/>
    <col min="8964" max="8964" width="10.28515625" style="131" customWidth="1"/>
    <col min="8965" max="8965" width="9.140625" style="131"/>
    <col min="8966" max="8966" width="8.7109375" style="131" customWidth="1"/>
    <col min="8967" max="8967" width="9.85546875" style="131" customWidth="1"/>
    <col min="8968" max="8970" width="9.140625" style="131"/>
    <col min="8971" max="8971" width="9.85546875" style="131" customWidth="1"/>
    <col min="8972" max="8972" width="8.140625" style="131" customWidth="1"/>
    <col min="8973" max="8973" width="12.42578125" style="131" customWidth="1"/>
    <col min="8974" max="9216" width="9.140625" style="131"/>
    <col min="9217" max="9217" width="3.28515625" style="131" customWidth="1"/>
    <col min="9218" max="9218" width="35.5703125" style="131" customWidth="1"/>
    <col min="9219" max="9219" width="8.5703125" style="131" customWidth="1"/>
    <col min="9220" max="9220" width="10.28515625" style="131" customWidth="1"/>
    <col min="9221" max="9221" width="9.140625" style="131"/>
    <col min="9222" max="9222" width="8.7109375" style="131" customWidth="1"/>
    <col min="9223" max="9223" width="9.85546875" style="131" customWidth="1"/>
    <col min="9224" max="9226" width="9.140625" style="131"/>
    <col min="9227" max="9227" width="9.85546875" style="131" customWidth="1"/>
    <col min="9228" max="9228" width="8.140625" style="131" customWidth="1"/>
    <col min="9229" max="9229" width="12.42578125" style="131" customWidth="1"/>
    <col min="9230" max="9472" width="9.140625" style="131"/>
    <col min="9473" max="9473" width="3.28515625" style="131" customWidth="1"/>
    <col min="9474" max="9474" width="35.5703125" style="131" customWidth="1"/>
    <col min="9475" max="9475" width="8.5703125" style="131" customWidth="1"/>
    <col min="9476" max="9476" width="10.28515625" style="131" customWidth="1"/>
    <col min="9477" max="9477" width="9.140625" style="131"/>
    <col min="9478" max="9478" width="8.7109375" style="131" customWidth="1"/>
    <col min="9479" max="9479" width="9.85546875" style="131" customWidth="1"/>
    <col min="9480" max="9482" width="9.140625" style="131"/>
    <col min="9483" max="9483" width="9.85546875" style="131" customWidth="1"/>
    <col min="9484" max="9484" width="8.140625" style="131" customWidth="1"/>
    <col min="9485" max="9485" width="12.42578125" style="131" customWidth="1"/>
    <col min="9486" max="9728" width="9.140625" style="131"/>
    <col min="9729" max="9729" width="3.28515625" style="131" customWidth="1"/>
    <col min="9730" max="9730" width="35.5703125" style="131" customWidth="1"/>
    <col min="9731" max="9731" width="8.5703125" style="131" customWidth="1"/>
    <col min="9732" max="9732" width="10.28515625" style="131" customWidth="1"/>
    <col min="9733" max="9733" width="9.140625" style="131"/>
    <col min="9734" max="9734" width="8.7109375" style="131" customWidth="1"/>
    <col min="9735" max="9735" width="9.85546875" style="131" customWidth="1"/>
    <col min="9736" max="9738" width="9.140625" style="131"/>
    <col min="9739" max="9739" width="9.85546875" style="131" customWidth="1"/>
    <col min="9740" max="9740" width="8.140625" style="131" customWidth="1"/>
    <col min="9741" max="9741" width="12.42578125" style="131" customWidth="1"/>
    <col min="9742" max="9984" width="9.140625" style="131"/>
    <col min="9985" max="9985" width="3.28515625" style="131" customWidth="1"/>
    <col min="9986" max="9986" width="35.5703125" style="131" customWidth="1"/>
    <col min="9987" max="9987" width="8.5703125" style="131" customWidth="1"/>
    <col min="9988" max="9988" width="10.28515625" style="131" customWidth="1"/>
    <col min="9989" max="9989" width="9.140625" style="131"/>
    <col min="9990" max="9990" width="8.7109375" style="131" customWidth="1"/>
    <col min="9991" max="9991" width="9.85546875" style="131" customWidth="1"/>
    <col min="9992" max="9994" width="9.140625" style="131"/>
    <col min="9995" max="9995" width="9.85546875" style="131" customWidth="1"/>
    <col min="9996" max="9996" width="8.140625" style="131" customWidth="1"/>
    <col min="9997" max="9997" width="12.42578125" style="131" customWidth="1"/>
    <col min="9998" max="10240" width="9.140625" style="131"/>
    <col min="10241" max="10241" width="3.28515625" style="131" customWidth="1"/>
    <col min="10242" max="10242" width="35.5703125" style="131" customWidth="1"/>
    <col min="10243" max="10243" width="8.5703125" style="131" customWidth="1"/>
    <col min="10244" max="10244" width="10.28515625" style="131" customWidth="1"/>
    <col min="10245" max="10245" width="9.140625" style="131"/>
    <col min="10246" max="10246" width="8.7109375" style="131" customWidth="1"/>
    <col min="10247" max="10247" width="9.85546875" style="131" customWidth="1"/>
    <col min="10248" max="10250" width="9.140625" style="131"/>
    <col min="10251" max="10251" width="9.85546875" style="131" customWidth="1"/>
    <col min="10252" max="10252" width="8.140625" style="131" customWidth="1"/>
    <col min="10253" max="10253" width="12.42578125" style="131" customWidth="1"/>
    <col min="10254" max="10496" width="9.140625" style="131"/>
    <col min="10497" max="10497" width="3.28515625" style="131" customWidth="1"/>
    <col min="10498" max="10498" width="35.5703125" style="131" customWidth="1"/>
    <col min="10499" max="10499" width="8.5703125" style="131" customWidth="1"/>
    <col min="10500" max="10500" width="10.28515625" style="131" customWidth="1"/>
    <col min="10501" max="10501" width="9.140625" style="131"/>
    <col min="10502" max="10502" width="8.7109375" style="131" customWidth="1"/>
    <col min="10503" max="10503" width="9.85546875" style="131" customWidth="1"/>
    <col min="10504" max="10506" width="9.140625" style="131"/>
    <col min="10507" max="10507" width="9.85546875" style="131" customWidth="1"/>
    <col min="10508" max="10508" width="8.140625" style="131" customWidth="1"/>
    <col min="10509" max="10509" width="12.42578125" style="131" customWidth="1"/>
    <col min="10510" max="10752" width="9.140625" style="131"/>
    <col min="10753" max="10753" width="3.28515625" style="131" customWidth="1"/>
    <col min="10754" max="10754" width="35.5703125" style="131" customWidth="1"/>
    <col min="10755" max="10755" width="8.5703125" style="131" customWidth="1"/>
    <col min="10756" max="10756" width="10.28515625" style="131" customWidth="1"/>
    <col min="10757" max="10757" width="9.140625" style="131"/>
    <col min="10758" max="10758" width="8.7109375" style="131" customWidth="1"/>
    <col min="10759" max="10759" width="9.85546875" style="131" customWidth="1"/>
    <col min="10760" max="10762" width="9.140625" style="131"/>
    <col min="10763" max="10763" width="9.85546875" style="131" customWidth="1"/>
    <col min="10764" max="10764" width="8.140625" style="131" customWidth="1"/>
    <col min="10765" max="10765" width="12.42578125" style="131" customWidth="1"/>
    <col min="10766" max="11008" width="9.140625" style="131"/>
    <col min="11009" max="11009" width="3.28515625" style="131" customWidth="1"/>
    <col min="11010" max="11010" width="35.5703125" style="131" customWidth="1"/>
    <col min="11011" max="11011" width="8.5703125" style="131" customWidth="1"/>
    <col min="11012" max="11012" width="10.28515625" style="131" customWidth="1"/>
    <col min="11013" max="11013" width="9.140625" style="131"/>
    <col min="11014" max="11014" width="8.7109375" style="131" customWidth="1"/>
    <col min="11015" max="11015" width="9.85546875" style="131" customWidth="1"/>
    <col min="11016" max="11018" width="9.140625" style="131"/>
    <col min="11019" max="11019" width="9.85546875" style="131" customWidth="1"/>
    <col min="11020" max="11020" width="8.140625" style="131" customWidth="1"/>
    <col min="11021" max="11021" width="12.42578125" style="131" customWidth="1"/>
    <col min="11022" max="11264" width="9.140625" style="131"/>
    <col min="11265" max="11265" width="3.28515625" style="131" customWidth="1"/>
    <col min="11266" max="11266" width="35.5703125" style="131" customWidth="1"/>
    <col min="11267" max="11267" width="8.5703125" style="131" customWidth="1"/>
    <col min="11268" max="11268" width="10.28515625" style="131" customWidth="1"/>
    <col min="11269" max="11269" width="9.140625" style="131"/>
    <col min="11270" max="11270" width="8.7109375" style="131" customWidth="1"/>
    <col min="11271" max="11271" width="9.85546875" style="131" customWidth="1"/>
    <col min="11272" max="11274" width="9.140625" style="131"/>
    <col min="11275" max="11275" width="9.85546875" style="131" customWidth="1"/>
    <col min="11276" max="11276" width="8.140625" style="131" customWidth="1"/>
    <col min="11277" max="11277" width="12.42578125" style="131" customWidth="1"/>
    <col min="11278" max="11520" width="9.140625" style="131"/>
    <col min="11521" max="11521" width="3.28515625" style="131" customWidth="1"/>
    <col min="11522" max="11522" width="35.5703125" style="131" customWidth="1"/>
    <col min="11523" max="11523" width="8.5703125" style="131" customWidth="1"/>
    <col min="11524" max="11524" width="10.28515625" style="131" customWidth="1"/>
    <col min="11525" max="11525" width="9.140625" style="131"/>
    <col min="11526" max="11526" width="8.7109375" style="131" customWidth="1"/>
    <col min="11527" max="11527" width="9.85546875" style="131" customWidth="1"/>
    <col min="11528" max="11530" width="9.140625" style="131"/>
    <col min="11531" max="11531" width="9.85546875" style="131" customWidth="1"/>
    <col min="11532" max="11532" width="8.140625" style="131" customWidth="1"/>
    <col min="11533" max="11533" width="12.42578125" style="131" customWidth="1"/>
    <col min="11534" max="11776" width="9.140625" style="131"/>
    <col min="11777" max="11777" width="3.28515625" style="131" customWidth="1"/>
    <col min="11778" max="11778" width="35.5703125" style="131" customWidth="1"/>
    <col min="11779" max="11779" width="8.5703125" style="131" customWidth="1"/>
    <col min="11780" max="11780" width="10.28515625" style="131" customWidth="1"/>
    <col min="11781" max="11781" width="9.140625" style="131"/>
    <col min="11782" max="11782" width="8.7109375" style="131" customWidth="1"/>
    <col min="11783" max="11783" width="9.85546875" style="131" customWidth="1"/>
    <col min="11784" max="11786" width="9.140625" style="131"/>
    <col min="11787" max="11787" width="9.85546875" style="131" customWidth="1"/>
    <col min="11788" max="11788" width="8.140625" style="131" customWidth="1"/>
    <col min="11789" max="11789" width="12.42578125" style="131" customWidth="1"/>
    <col min="11790" max="12032" width="9.140625" style="131"/>
    <col min="12033" max="12033" width="3.28515625" style="131" customWidth="1"/>
    <col min="12034" max="12034" width="35.5703125" style="131" customWidth="1"/>
    <col min="12035" max="12035" width="8.5703125" style="131" customWidth="1"/>
    <col min="12036" max="12036" width="10.28515625" style="131" customWidth="1"/>
    <col min="12037" max="12037" width="9.140625" style="131"/>
    <col min="12038" max="12038" width="8.7109375" style="131" customWidth="1"/>
    <col min="12039" max="12039" width="9.85546875" style="131" customWidth="1"/>
    <col min="12040" max="12042" width="9.140625" style="131"/>
    <col min="12043" max="12043" width="9.85546875" style="131" customWidth="1"/>
    <col min="12044" max="12044" width="8.140625" style="131" customWidth="1"/>
    <col min="12045" max="12045" width="12.42578125" style="131" customWidth="1"/>
    <col min="12046" max="12288" width="9.140625" style="131"/>
    <col min="12289" max="12289" width="3.28515625" style="131" customWidth="1"/>
    <col min="12290" max="12290" width="35.5703125" style="131" customWidth="1"/>
    <col min="12291" max="12291" width="8.5703125" style="131" customWidth="1"/>
    <col min="12292" max="12292" width="10.28515625" style="131" customWidth="1"/>
    <col min="12293" max="12293" width="9.140625" style="131"/>
    <col min="12294" max="12294" width="8.7109375" style="131" customWidth="1"/>
    <col min="12295" max="12295" width="9.85546875" style="131" customWidth="1"/>
    <col min="12296" max="12298" width="9.140625" style="131"/>
    <col min="12299" max="12299" width="9.85546875" style="131" customWidth="1"/>
    <col min="12300" max="12300" width="8.140625" style="131" customWidth="1"/>
    <col min="12301" max="12301" width="12.42578125" style="131" customWidth="1"/>
    <col min="12302" max="12544" width="9.140625" style="131"/>
    <col min="12545" max="12545" width="3.28515625" style="131" customWidth="1"/>
    <col min="12546" max="12546" width="35.5703125" style="131" customWidth="1"/>
    <col min="12547" max="12547" width="8.5703125" style="131" customWidth="1"/>
    <col min="12548" max="12548" width="10.28515625" style="131" customWidth="1"/>
    <col min="12549" max="12549" width="9.140625" style="131"/>
    <col min="12550" max="12550" width="8.7109375" style="131" customWidth="1"/>
    <col min="12551" max="12551" width="9.85546875" style="131" customWidth="1"/>
    <col min="12552" max="12554" width="9.140625" style="131"/>
    <col min="12555" max="12555" width="9.85546875" style="131" customWidth="1"/>
    <col min="12556" max="12556" width="8.140625" style="131" customWidth="1"/>
    <col min="12557" max="12557" width="12.42578125" style="131" customWidth="1"/>
    <col min="12558" max="12800" width="9.140625" style="131"/>
    <col min="12801" max="12801" width="3.28515625" style="131" customWidth="1"/>
    <col min="12802" max="12802" width="35.5703125" style="131" customWidth="1"/>
    <col min="12803" max="12803" width="8.5703125" style="131" customWidth="1"/>
    <col min="12804" max="12804" width="10.28515625" style="131" customWidth="1"/>
    <col min="12805" max="12805" width="9.140625" style="131"/>
    <col min="12806" max="12806" width="8.7109375" style="131" customWidth="1"/>
    <col min="12807" max="12807" width="9.85546875" style="131" customWidth="1"/>
    <col min="12808" max="12810" width="9.140625" style="131"/>
    <col min="12811" max="12811" width="9.85546875" style="131" customWidth="1"/>
    <col min="12812" max="12812" width="8.140625" style="131" customWidth="1"/>
    <col min="12813" max="12813" width="12.42578125" style="131" customWidth="1"/>
    <col min="12814" max="13056" width="9.140625" style="131"/>
    <col min="13057" max="13057" width="3.28515625" style="131" customWidth="1"/>
    <col min="13058" max="13058" width="35.5703125" style="131" customWidth="1"/>
    <col min="13059" max="13059" width="8.5703125" style="131" customWidth="1"/>
    <col min="13060" max="13060" width="10.28515625" style="131" customWidth="1"/>
    <col min="13061" max="13061" width="9.140625" style="131"/>
    <col min="13062" max="13062" width="8.7109375" style="131" customWidth="1"/>
    <col min="13063" max="13063" width="9.85546875" style="131" customWidth="1"/>
    <col min="13064" max="13066" width="9.140625" style="131"/>
    <col min="13067" max="13067" width="9.85546875" style="131" customWidth="1"/>
    <col min="13068" max="13068" width="8.140625" style="131" customWidth="1"/>
    <col min="13069" max="13069" width="12.42578125" style="131" customWidth="1"/>
    <col min="13070" max="13312" width="9.140625" style="131"/>
    <col min="13313" max="13313" width="3.28515625" style="131" customWidth="1"/>
    <col min="13314" max="13314" width="35.5703125" style="131" customWidth="1"/>
    <col min="13315" max="13315" width="8.5703125" style="131" customWidth="1"/>
    <col min="13316" max="13316" width="10.28515625" style="131" customWidth="1"/>
    <col min="13317" max="13317" width="9.140625" style="131"/>
    <col min="13318" max="13318" width="8.7109375" style="131" customWidth="1"/>
    <col min="13319" max="13319" width="9.85546875" style="131" customWidth="1"/>
    <col min="13320" max="13322" width="9.140625" style="131"/>
    <col min="13323" max="13323" width="9.85546875" style="131" customWidth="1"/>
    <col min="13324" max="13324" width="8.140625" style="131" customWidth="1"/>
    <col min="13325" max="13325" width="12.42578125" style="131" customWidth="1"/>
    <col min="13326" max="13568" width="9.140625" style="131"/>
    <col min="13569" max="13569" width="3.28515625" style="131" customWidth="1"/>
    <col min="13570" max="13570" width="35.5703125" style="131" customWidth="1"/>
    <col min="13571" max="13571" width="8.5703125" style="131" customWidth="1"/>
    <col min="13572" max="13572" width="10.28515625" style="131" customWidth="1"/>
    <col min="13573" max="13573" width="9.140625" style="131"/>
    <col min="13574" max="13574" width="8.7109375" style="131" customWidth="1"/>
    <col min="13575" max="13575" width="9.85546875" style="131" customWidth="1"/>
    <col min="13576" max="13578" width="9.140625" style="131"/>
    <col min="13579" max="13579" width="9.85546875" style="131" customWidth="1"/>
    <col min="13580" max="13580" width="8.140625" style="131" customWidth="1"/>
    <col min="13581" max="13581" width="12.42578125" style="131" customWidth="1"/>
    <col min="13582" max="13824" width="9.140625" style="131"/>
    <col min="13825" max="13825" width="3.28515625" style="131" customWidth="1"/>
    <col min="13826" max="13826" width="35.5703125" style="131" customWidth="1"/>
    <col min="13827" max="13827" width="8.5703125" style="131" customWidth="1"/>
    <col min="13828" max="13828" width="10.28515625" style="131" customWidth="1"/>
    <col min="13829" max="13829" width="9.140625" style="131"/>
    <col min="13830" max="13830" width="8.7109375" style="131" customWidth="1"/>
    <col min="13831" max="13831" width="9.85546875" style="131" customWidth="1"/>
    <col min="13832" max="13834" width="9.140625" style="131"/>
    <col min="13835" max="13835" width="9.85546875" style="131" customWidth="1"/>
    <col min="13836" max="13836" width="8.140625" style="131" customWidth="1"/>
    <col min="13837" max="13837" width="12.42578125" style="131" customWidth="1"/>
    <col min="13838" max="14080" width="9.140625" style="131"/>
    <col min="14081" max="14081" width="3.28515625" style="131" customWidth="1"/>
    <col min="14082" max="14082" width="35.5703125" style="131" customWidth="1"/>
    <col min="14083" max="14083" width="8.5703125" style="131" customWidth="1"/>
    <col min="14084" max="14084" width="10.28515625" style="131" customWidth="1"/>
    <col min="14085" max="14085" width="9.140625" style="131"/>
    <col min="14086" max="14086" width="8.7109375" style="131" customWidth="1"/>
    <col min="14087" max="14087" width="9.85546875" style="131" customWidth="1"/>
    <col min="14088" max="14090" width="9.140625" style="131"/>
    <col min="14091" max="14091" width="9.85546875" style="131" customWidth="1"/>
    <col min="14092" max="14092" width="8.140625" style="131" customWidth="1"/>
    <col min="14093" max="14093" width="12.42578125" style="131" customWidth="1"/>
    <col min="14094" max="14336" width="9.140625" style="131"/>
    <col min="14337" max="14337" width="3.28515625" style="131" customWidth="1"/>
    <col min="14338" max="14338" width="35.5703125" style="131" customWidth="1"/>
    <col min="14339" max="14339" width="8.5703125" style="131" customWidth="1"/>
    <col min="14340" max="14340" width="10.28515625" style="131" customWidth="1"/>
    <col min="14341" max="14341" width="9.140625" style="131"/>
    <col min="14342" max="14342" width="8.7109375" style="131" customWidth="1"/>
    <col min="14343" max="14343" width="9.85546875" style="131" customWidth="1"/>
    <col min="14344" max="14346" width="9.140625" style="131"/>
    <col min="14347" max="14347" width="9.85546875" style="131" customWidth="1"/>
    <col min="14348" max="14348" width="8.140625" style="131" customWidth="1"/>
    <col min="14349" max="14349" width="12.42578125" style="131" customWidth="1"/>
    <col min="14350" max="14592" width="9.140625" style="131"/>
    <col min="14593" max="14593" width="3.28515625" style="131" customWidth="1"/>
    <col min="14594" max="14594" width="35.5703125" style="131" customWidth="1"/>
    <col min="14595" max="14595" width="8.5703125" style="131" customWidth="1"/>
    <col min="14596" max="14596" width="10.28515625" style="131" customWidth="1"/>
    <col min="14597" max="14597" width="9.140625" style="131"/>
    <col min="14598" max="14598" width="8.7109375" style="131" customWidth="1"/>
    <col min="14599" max="14599" width="9.85546875" style="131" customWidth="1"/>
    <col min="14600" max="14602" width="9.140625" style="131"/>
    <col min="14603" max="14603" width="9.85546875" style="131" customWidth="1"/>
    <col min="14604" max="14604" width="8.140625" style="131" customWidth="1"/>
    <col min="14605" max="14605" width="12.42578125" style="131" customWidth="1"/>
    <col min="14606" max="14848" width="9.140625" style="131"/>
    <col min="14849" max="14849" width="3.28515625" style="131" customWidth="1"/>
    <col min="14850" max="14850" width="35.5703125" style="131" customWidth="1"/>
    <col min="14851" max="14851" width="8.5703125" style="131" customWidth="1"/>
    <col min="14852" max="14852" width="10.28515625" style="131" customWidth="1"/>
    <col min="14853" max="14853" width="9.140625" style="131"/>
    <col min="14854" max="14854" width="8.7109375" style="131" customWidth="1"/>
    <col min="14855" max="14855" width="9.85546875" style="131" customWidth="1"/>
    <col min="14856" max="14858" width="9.140625" style="131"/>
    <col min="14859" max="14859" width="9.85546875" style="131" customWidth="1"/>
    <col min="14860" max="14860" width="8.140625" style="131" customWidth="1"/>
    <col min="14861" max="14861" width="12.42578125" style="131" customWidth="1"/>
    <col min="14862" max="15104" width="9.140625" style="131"/>
    <col min="15105" max="15105" width="3.28515625" style="131" customWidth="1"/>
    <col min="15106" max="15106" width="35.5703125" style="131" customWidth="1"/>
    <col min="15107" max="15107" width="8.5703125" style="131" customWidth="1"/>
    <col min="15108" max="15108" width="10.28515625" style="131" customWidth="1"/>
    <col min="15109" max="15109" width="9.140625" style="131"/>
    <col min="15110" max="15110" width="8.7109375" style="131" customWidth="1"/>
    <col min="15111" max="15111" width="9.85546875" style="131" customWidth="1"/>
    <col min="15112" max="15114" width="9.140625" style="131"/>
    <col min="15115" max="15115" width="9.85546875" style="131" customWidth="1"/>
    <col min="15116" max="15116" width="8.140625" style="131" customWidth="1"/>
    <col min="15117" max="15117" width="12.42578125" style="131" customWidth="1"/>
    <col min="15118" max="15360" width="9.140625" style="131"/>
    <col min="15361" max="15361" width="3.28515625" style="131" customWidth="1"/>
    <col min="15362" max="15362" width="35.5703125" style="131" customWidth="1"/>
    <col min="15363" max="15363" width="8.5703125" style="131" customWidth="1"/>
    <col min="15364" max="15364" width="10.28515625" style="131" customWidth="1"/>
    <col min="15365" max="15365" width="9.140625" style="131"/>
    <col min="15366" max="15366" width="8.7109375" style="131" customWidth="1"/>
    <col min="15367" max="15367" width="9.85546875" style="131" customWidth="1"/>
    <col min="15368" max="15370" width="9.140625" style="131"/>
    <col min="15371" max="15371" width="9.85546875" style="131" customWidth="1"/>
    <col min="15372" max="15372" width="8.140625" style="131" customWidth="1"/>
    <col min="15373" max="15373" width="12.42578125" style="131" customWidth="1"/>
    <col min="15374" max="15616" width="9.140625" style="131"/>
    <col min="15617" max="15617" width="3.28515625" style="131" customWidth="1"/>
    <col min="15618" max="15618" width="35.5703125" style="131" customWidth="1"/>
    <col min="15619" max="15619" width="8.5703125" style="131" customWidth="1"/>
    <col min="15620" max="15620" width="10.28515625" style="131" customWidth="1"/>
    <col min="15621" max="15621" width="9.140625" style="131"/>
    <col min="15622" max="15622" width="8.7109375" style="131" customWidth="1"/>
    <col min="15623" max="15623" width="9.85546875" style="131" customWidth="1"/>
    <col min="15624" max="15626" width="9.140625" style="131"/>
    <col min="15627" max="15627" width="9.85546875" style="131" customWidth="1"/>
    <col min="15628" max="15628" width="8.140625" style="131" customWidth="1"/>
    <col min="15629" max="15629" width="12.42578125" style="131" customWidth="1"/>
    <col min="15630" max="15872" width="9.140625" style="131"/>
    <col min="15873" max="15873" width="3.28515625" style="131" customWidth="1"/>
    <col min="15874" max="15874" width="35.5703125" style="131" customWidth="1"/>
    <col min="15875" max="15875" width="8.5703125" style="131" customWidth="1"/>
    <col min="15876" max="15876" width="10.28515625" style="131" customWidth="1"/>
    <col min="15877" max="15877" width="9.140625" style="131"/>
    <col min="15878" max="15878" width="8.7109375" style="131" customWidth="1"/>
    <col min="15879" max="15879" width="9.85546875" style="131" customWidth="1"/>
    <col min="15880" max="15882" width="9.140625" style="131"/>
    <col min="15883" max="15883" width="9.85546875" style="131" customWidth="1"/>
    <col min="15884" max="15884" width="8.140625" style="131" customWidth="1"/>
    <col min="15885" max="15885" width="12.42578125" style="131" customWidth="1"/>
    <col min="15886" max="16128" width="9.140625" style="131"/>
    <col min="16129" max="16129" width="3.28515625" style="131" customWidth="1"/>
    <col min="16130" max="16130" width="35.5703125" style="131" customWidth="1"/>
    <col min="16131" max="16131" width="8.5703125" style="131" customWidth="1"/>
    <col min="16132" max="16132" width="10.28515625" style="131" customWidth="1"/>
    <col min="16133" max="16133" width="9.140625" style="131"/>
    <col min="16134" max="16134" width="8.7109375" style="131" customWidth="1"/>
    <col min="16135" max="16135" width="9.85546875" style="131" customWidth="1"/>
    <col min="16136" max="16138" width="9.140625" style="131"/>
    <col min="16139" max="16139" width="9.85546875" style="131" customWidth="1"/>
    <col min="16140" max="16140" width="8.140625" style="131" customWidth="1"/>
    <col min="16141" max="16141" width="12.42578125" style="131" customWidth="1"/>
    <col min="16142" max="16384" width="9.140625" style="131"/>
  </cols>
  <sheetData>
    <row r="2" spans="1:28" ht="15.75">
      <c r="A2" s="146" t="s">
        <v>385</v>
      </c>
      <c r="B2" s="147"/>
      <c r="C2" s="147"/>
      <c r="D2" s="148"/>
      <c r="E2" s="148"/>
      <c r="F2" s="147"/>
      <c r="G2" s="147"/>
      <c r="H2" s="147"/>
      <c r="I2" s="532" t="s">
        <v>575</v>
      </c>
      <c r="J2" s="533"/>
      <c r="K2" s="533"/>
      <c r="L2" s="533"/>
      <c r="M2" s="148"/>
    </row>
    <row r="3" spans="1:28" ht="23.25" customHeight="1">
      <c r="A3" s="146" t="s">
        <v>570</v>
      </c>
      <c r="B3" s="147"/>
      <c r="C3" s="147"/>
      <c r="D3" s="148"/>
      <c r="E3" s="148"/>
      <c r="F3" s="147"/>
      <c r="G3" s="1"/>
      <c r="H3" s="149"/>
      <c r="I3" s="1" t="s">
        <v>574</v>
      </c>
      <c r="J3" s="149"/>
      <c r="K3" s="149"/>
      <c r="L3" s="150"/>
      <c r="M3" s="150"/>
      <c r="O3" s="151"/>
      <c r="P3" s="151"/>
      <c r="Q3" s="151"/>
      <c r="R3" s="150"/>
    </row>
    <row r="4" spans="1:28" ht="15" customHeight="1">
      <c r="A4" s="146" t="s">
        <v>571</v>
      </c>
      <c r="B4" s="147"/>
      <c r="C4" s="147"/>
      <c r="D4" s="148"/>
      <c r="E4" s="148"/>
      <c r="F4" s="147"/>
      <c r="G4" s="199"/>
      <c r="H4" s="152"/>
      <c r="I4" s="262" t="s">
        <v>573</v>
      </c>
      <c r="J4" s="152"/>
      <c r="K4" s="152"/>
      <c r="L4" s="150"/>
      <c r="M4" s="150"/>
      <c r="O4" s="151"/>
      <c r="P4" s="151"/>
      <c r="Q4" s="151"/>
      <c r="R4" s="150"/>
    </row>
    <row r="5" spans="1:28" ht="15.75">
      <c r="A5" s="146" t="s">
        <v>386</v>
      </c>
      <c r="B5" s="147"/>
      <c r="C5" s="147"/>
      <c r="D5" s="148"/>
      <c r="E5" s="148"/>
      <c r="F5" s="147"/>
      <c r="G5" s="199"/>
      <c r="H5" s="152"/>
      <c r="I5" s="262" t="s">
        <v>576</v>
      </c>
      <c r="J5" s="152"/>
      <c r="K5" s="152"/>
      <c r="L5" s="150"/>
      <c r="M5" s="153"/>
      <c r="O5" s="151"/>
      <c r="P5" s="151"/>
      <c r="Q5" s="151"/>
      <c r="R5" s="150"/>
    </row>
    <row r="6" spans="1:28" ht="15.75">
      <c r="A6" s="146"/>
      <c r="B6" s="147"/>
      <c r="C6" s="147"/>
      <c r="D6" s="147"/>
      <c r="E6" s="147"/>
      <c r="F6" s="147"/>
      <c r="G6" s="199"/>
      <c r="H6" s="152"/>
      <c r="I6" s="262" t="s">
        <v>572</v>
      </c>
      <c r="J6" s="152"/>
      <c r="K6" s="152"/>
      <c r="L6" s="150"/>
      <c r="M6" s="150"/>
      <c r="O6" s="151"/>
      <c r="P6" s="151"/>
      <c r="Q6" s="151"/>
      <c r="R6" s="150"/>
    </row>
    <row r="7" spans="1:28" ht="15.7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</row>
    <row r="8" spans="1:28" ht="15.75" customHeight="1">
      <c r="A8" s="535" t="s">
        <v>387</v>
      </c>
      <c r="B8" s="536"/>
      <c r="C8" s="536"/>
      <c r="D8" s="147">
        <v>60</v>
      </c>
      <c r="E8" s="148"/>
      <c r="F8" s="148"/>
      <c r="G8" s="148"/>
      <c r="H8" s="148"/>
      <c r="I8" s="148"/>
      <c r="J8" s="148"/>
      <c r="K8" s="148"/>
      <c r="L8" s="148"/>
      <c r="M8" s="148"/>
    </row>
    <row r="9" spans="1:28" ht="15.75" customHeight="1">
      <c r="A9" s="535" t="s">
        <v>388</v>
      </c>
      <c r="B9" s="536"/>
      <c r="C9" s="536"/>
      <c r="D9" s="147">
        <v>1299</v>
      </c>
      <c r="E9" s="148"/>
      <c r="F9" s="148"/>
      <c r="G9" s="148"/>
      <c r="H9" s="148"/>
      <c r="I9" s="148"/>
      <c r="J9" s="148"/>
      <c r="K9" s="148"/>
      <c r="L9" s="148"/>
      <c r="M9" s="148"/>
    </row>
    <row r="10" spans="1:28" ht="15.75">
      <c r="A10" s="155"/>
      <c r="B10" s="155"/>
      <c r="C10" s="155"/>
      <c r="D10" s="154"/>
      <c r="E10" s="148"/>
      <c r="F10" s="148"/>
      <c r="G10" s="148"/>
      <c r="H10" s="148"/>
      <c r="I10" s="148"/>
      <c r="J10" s="148"/>
      <c r="K10" s="148"/>
      <c r="L10" s="148"/>
      <c r="M10" s="148"/>
    </row>
    <row r="11" spans="1:28" ht="15.75">
      <c r="A11" s="537" t="s">
        <v>389</v>
      </c>
      <c r="B11" s="537"/>
      <c r="C11" s="537"/>
      <c r="D11" s="537"/>
      <c r="E11" s="537"/>
      <c r="F11" s="537"/>
      <c r="G11" s="537"/>
      <c r="H11" s="537"/>
      <c r="I11" s="537"/>
      <c r="J11" s="537"/>
      <c r="K11" s="537"/>
      <c r="L11" s="537"/>
      <c r="M11" s="537"/>
    </row>
    <row r="12" spans="1:28" ht="30.75" customHeight="1">
      <c r="A12" s="538" t="s">
        <v>847</v>
      </c>
      <c r="B12" s="539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ht="15.75" customHeight="1">
      <c r="A13" s="540" t="s">
        <v>506</v>
      </c>
      <c r="B13" s="540"/>
      <c r="C13" s="540"/>
      <c r="D13" s="540"/>
      <c r="E13" s="540"/>
      <c r="F13" s="540"/>
      <c r="G13" s="540"/>
      <c r="H13" s="540"/>
      <c r="I13" s="540"/>
      <c r="J13" s="540"/>
      <c r="K13" s="540"/>
      <c r="L13" s="540"/>
      <c r="M13" s="540"/>
    </row>
    <row r="14" spans="1:28" s="177" customFormat="1" ht="159.75" customHeight="1">
      <c r="A14" s="156" t="s">
        <v>10</v>
      </c>
      <c r="B14" s="156" t="s">
        <v>390</v>
      </c>
      <c r="C14" s="239" t="s">
        <v>391</v>
      </c>
      <c r="D14" s="239" t="s">
        <v>392</v>
      </c>
      <c r="E14" s="239" t="s">
        <v>393</v>
      </c>
      <c r="F14" s="239" t="s">
        <v>394</v>
      </c>
      <c r="G14" s="239" t="s">
        <v>395</v>
      </c>
      <c r="H14" s="239" t="s">
        <v>396</v>
      </c>
      <c r="I14" s="239" t="s">
        <v>397</v>
      </c>
      <c r="J14" s="239" t="s">
        <v>398</v>
      </c>
      <c r="K14" s="239" t="s">
        <v>399</v>
      </c>
      <c r="L14" s="239" t="s">
        <v>400</v>
      </c>
      <c r="M14" s="239" t="s">
        <v>401</v>
      </c>
    </row>
    <row r="15" spans="1:28" s="177" customFormat="1" ht="18.75" customHeight="1">
      <c r="A15" s="157">
        <v>1</v>
      </c>
      <c r="B15" s="158" t="s">
        <v>193</v>
      </c>
      <c r="C15" s="159">
        <f>'АУП 2023'!E13</f>
        <v>1</v>
      </c>
      <c r="D15" s="159">
        <f>'АУП 2023'!M13</f>
        <v>275188.34999999998</v>
      </c>
      <c r="E15" s="159">
        <f>'АУП 2023'!Q13</f>
        <v>55037.67</v>
      </c>
      <c r="F15" s="159">
        <f>'АУП 2023'!AD13-'Свод '!D15-'Свод '!E15</f>
        <v>27518.835000000006</v>
      </c>
      <c r="G15" s="240">
        <f>+D15+E15+F15</f>
        <v>357744.85499999998</v>
      </c>
      <c r="H15" s="160">
        <f>(G15-E15-(G15-E15)*10%)*6%</f>
        <v>16346.187989999999</v>
      </c>
      <c r="I15" s="160">
        <f>(G15-E15-(G15-E15)*10%)*3.5%</f>
        <v>9535.2763274999998</v>
      </c>
      <c r="J15" s="160">
        <f>(G15-E15-(G15-E15)*10%)*3%</f>
        <v>8173.0939949999993</v>
      </c>
      <c r="K15" s="159">
        <f>+G15+H15+I15+J15</f>
        <v>391799.41331249999</v>
      </c>
      <c r="L15" s="159"/>
      <c r="M15" s="161">
        <f>D15*2-E15</f>
        <v>495339.02999999997</v>
      </c>
    </row>
    <row r="16" spans="1:28" s="177" customFormat="1" ht="30" customHeight="1">
      <c r="A16" s="157">
        <v>2</v>
      </c>
      <c r="B16" s="162" t="s">
        <v>343</v>
      </c>
      <c r="C16" s="159">
        <f>'АУП 2023'!E14+'АУП 2023'!E15+'АУП 2023'!E16</f>
        <v>3</v>
      </c>
      <c r="D16" s="159">
        <f>'АУП 2023'!M14+'АУП 2023'!M15+'АУП 2023'!M16</f>
        <v>769377.07500000007</v>
      </c>
      <c r="E16" s="159">
        <f>'АУП 2023'!Q14+'АУП 2023'!Q15+'АУП 2023'!Q16</f>
        <v>153875.41500000004</v>
      </c>
      <c r="F16" s="159">
        <f>'АУП 2023'!AD14+'АУП 2023'!AD15+'АУП 2023'!AD16-'Свод '!D16-'Свод '!E16</f>
        <v>461626.245</v>
      </c>
      <c r="G16" s="240">
        <f>+D16+E16+F16</f>
        <v>1384878.7350000001</v>
      </c>
      <c r="H16" s="160">
        <f>(G16-E16-(G16-E16)*10%)*6%</f>
        <v>66474.179280000011</v>
      </c>
      <c r="I16" s="160">
        <f>(G16-E16-(G16-E16)*10%)*3.5%</f>
        <v>38776.604580000007</v>
      </c>
      <c r="J16" s="160">
        <f>(G16-E16-(G16-E16)*10%)*3%</f>
        <v>33237.089640000006</v>
      </c>
      <c r="K16" s="159">
        <f>+G16+H16+I16+J16</f>
        <v>1523366.6085000001</v>
      </c>
      <c r="L16" s="159"/>
      <c r="M16" s="161">
        <f>D16*2-E16</f>
        <v>1384878.7350000001</v>
      </c>
    </row>
    <row r="17" spans="1:13" s="177" customFormat="1" ht="30" customHeight="1">
      <c r="A17" s="157">
        <v>3</v>
      </c>
      <c r="B17" s="162" t="s">
        <v>344</v>
      </c>
      <c r="C17" s="159">
        <f>'АУП 2023'!E18+'АУП 2023'!E19</f>
        <v>2</v>
      </c>
      <c r="D17" s="159">
        <f>'АУП 2023'!M18+'АУП 2023'!M19</f>
        <v>515425.125</v>
      </c>
      <c r="E17" s="159">
        <f>'АУП 2023'!Q18+'АУП 2023'!Q19</f>
        <v>103085.02500000002</v>
      </c>
      <c r="F17" s="159">
        <f>'АУП 2023'!AD18+'АУП 2023'!AD19-'Свод '!D17-'Свод '!E17</f>
        <v>309255.07500000007</v>
      </c>
      <c r="G17" s="240">
        <f>+D17+E17+F17</f>
        <v>927765.22500000009</v>
      </c>
      <c r="H17" s="160">
        <f>(G17-E17-(G17-E17)*10%)*6%</f>
        <v>44532.730800000005</v>
      </c>
      <c r="I17" s="160">
        <f>(G17-E17-(G17-E17)*10%)*3.5%</f>
        <v>25977.426300000003</v>
      </c>
      <c r="J17" s="160">
        <f>(G17-E17-(G17-E17)*10%)*3%</f>
        <v>22266.365400000002</v>
      </c>
      <c r="K17" s="159">
        <f>+G17+H17+I17+J17</f>
        <v>1020541.7475000002</v>
      </c>
      <c r="L17" s="159"/>
      <c r="M17" s="161">
        <f>D17*2-E17</f>
        <v>927765.22499999998</v>
      </c>
    </row>
    <row r="18" spans="1:13" s="177" customFormat="1" ht="30" customHeight="1">
      <c r="A18" s="157">
        <v>4</v>
      </c>
      <c r="B18" s="162" t="s">
        <v>424</v>
      </c>
      <c r="C18" s="159">
        <f>'АУП 2023'!E17</f>
        <v>1</v>
      </c>
      <c r="D18" s="159">
        <f>'АУП 2023'!M17</f>
        <v>261473.17500000002</v>
      </c>
      <c r="E18" s="159">
        <f>'АУП 2023'!Q17</f>
        <v>52294.635000000009</v>
      </c>
      <c r="F18" s="159">
        <f>'АУП 2023'!AD17-'Свод '!D18-'Свод '!E18</f>
        <v>287620.49250000005</v>
      </c>
      <c r="G18" s="240">
        <f>+D18+E18+F18</f>
        <v>601388.30250000011</v>
      </c>
      <c r="H18" s="160">
        <f>(G18-E18-(G18-E18)*10%)*6%</f>
        <v>29651.058045000002</v>
      </c>
      <c r="I18" s="160">
        <f>(G18-E18-(G18-E18)*10%)*3.5%</f>
        <v>17296.450526250002</v>
      </c>
      <c r="J18" s="160">
        <f>(G18-E18-(G18-E18)*10%)*3%</f>
        <v>14825.529022500001</v>
      </c>
      <c r="K18" s="159">
        <f>+G18+H18+I18+J18</f>
        <v>663161.34009375016</v>
      </c>
      <c r="L18" s="159"/>
      <c r="M18" s="161">
        <f>D18*2-E18</f>
        <v>470651.71500000003</v>
      </c>
    </row>
    <row r="19" spans="1:13" s="177" customFormat="1" ht="30" customHeight="1">
      <c r="A19" s="157">
        <v>5</v>
      </c>
      <c r="B19" s="162" t="s">
        <v>425</v>
      </c>
      <c r="C19" s="159">
        <f>'АУП 2023'!E20</f>
        <v>1</v>
      </c>
      <c r="D19" s="159">
        <f>'АУП 2023'!M20</f>
        <v>128816.46299999997</v>
      </c>
      <c r="E19" s="159">
        <f>'АУП 2023'!Q20</f>
        <v>25763.292599999997</v>
      </c>
      <c r="F19" s="159">
        <f>'АУП 2023'!AD20-'Свод '!D19-'Свод '!E19</f>
        <v>12881.646299999997</v>
      </c>
      <c r="G19" s="240">
        <f>+D19+E19+F19</f>
        <v>167461.40189999997</v>
      </c>
      <c r="H19" s="160">
        <f>(G19-E19-(G19-E19)*10%)*6%</f>
        <v>7651.6979021999978</v>
      </c>
      <c r="I19" s="160">
        <f>(G19-E19-(G19-E19)*10%)*3.5%</f>
        <v>4463.4904429499993</v>
      </c>
      <c r="J19" s="160">
        <f>(G19-E19-(G19-E19)*10%)*3%</f>
        <v>3825.8489510999989</v>
      </c>
      <c r="K19" s="159">
        <f>+G19+H19+I19+J19</f>
        <v>183402.43919624994</v>
      </c>
      <c r="L19" s="159"/>
      <c r="M19" s="161">
        <f>D19*2-E19</f>
        <v>231869.63339999996</v>
      </c>
    </row>
    <row r="20" spans="1:13" s="177" customFormat="1" ht="22.5" customHeight="1">
      <c r="A20" s="163"/>
      <c r="B20" s="163" t="s">
        <v>402</v>
      </c>
      <c r="C20" s="164">
        <f>SUM(C15:C19)</f>
        <v>8</v>
      </c>
      <c r="D20" s="164">
        <f t="shared" ref="D20:M20" si="0">SUM(D15:D19)</f>
        <v>1950280.1880000001</v>
      </c>
      <c r="E20" s="164">
        <f t="shared" si="0"/>
        <v>390056.03760000004</v>
      </c>
      <c r="F20" s="164">
        <f t="shared" si="0"/>
        <v>1098902.2937999999</v>
      </c>
      <c r="G20" s="164">
        <f t="shared" si="0"/>
        <v>3439238.5194000006</v>
      </c>
      <c r="H20" s="164">
        <f t="shared" si="0"/>
        <v>164655.85401720001</v>
      </c>
      <c r="I20" s="164">
        <f t="shared" si="0"/>
        <v>96049.248176700014</v>
      </c>
      <c r="J20" s="164">
        <f t="shared" si="0"/>
        <v>82327.927008600003</v>
      </c>
      <c r="K20" s="164">
        <f t="shared" si="0"/>
        <v>3782271.5486025</v>
      </c>
      <c r="L20" s="164">
        <f t="shared" si="0"/>
        <v>0</v>
      </c>
      <c r="M20" s="164">
        <f t="shared" si="0"/>
        <v>3510504.3384000002</v>
      </c>
    </row>
    <row r="21" spans="1:13" s="177" customFormat="1" ht="15.75" customHeight="1">
      <c r="A21" s="157">
        <v>6</v>
      </c>
      <c r="B21" s="178" t="s">
        <v>351</v>
      </c>
      <c r="C21" s="165">
        <f>'АУП 2023'!E33</f>
        <v>1</v>
      </c>
      <c r="D21" s="159">
        <f>'АУП 2023'!M33</f>
        <v>170333.625</v>
      </c>
      <c r="E21" s="159">
        <f>'АУП 2023'!Q33</f>
        <v>34066.724999999999</v>
      </c>
      <c r="F21" s="159">
        <f>'АУП 2023'!AD33-'Свод '!D21-'Свод '!E21</f>
        <v>17033.362499999996</v>
      </c>
      <c r="G21" s="159">
        <f t="shared" ref="G21:G60" si="1">+D21+E21+F21</f>
        <v>221433.71249999999</v>
      </c>
      <c r="H21" s="160">
        <f t="shared" ref="H21:H60" si="2">(G21-E21-(G21-E21)*10%)*6%</f>
        <v>10117.817324999998</v>
      </c>
      <c r="I21" s="160">
        <f t="shared" ref="I21:I60" si="3">(G21-E21-(G21-E21)*10%)*3.5%</f>
        <v>5902.06010625</v>
      </c>
      <c r="J21" s="160">
        <f t="shared" ref="J21:J31" si="4">(G21-E21-(G21-E21)*10%)*3%</f>
        <v>5058.9086624999991</v>
      </c>
      <c r="K21" s="159">
        <f t="shared" ref="K21:K60" si="5">+G21+H21+I21+J21</f>
        <v>242512.49859375</v>
      </c>
      <c r="L21" s="159"/>
      <c r="M21" s="161">
        <f t="shared" ref="M21:M31" si="6">D21*2-E21</f>
        <v>306600.52500000002</v>
      </c>
    </row>
    <row r="22" spans="1:13" s="177" customFormat="1" ht="15.75" customHeight="1">
      <c r="A22" s="157">
        <v>7</v>
      </c>
      <c r="B22" s="316" t="s">
        <v>375</v>
      </c>
      <c r="C22" s="165">
        <f>'АУП 2023'!E28</f>
        <v>1</v>
      </c>
      <c r="D22" s="159">
        <f>'АУП 2023'!M28</f>
        <v>224751.9</v>
      </c>
      <c r="E22" s="159">
        <f>'АУП 2023'!Q28</f>
        <v>44950.380000000005</v>
      </c>
      <c r="F22" s="159">
        <f>'АУП 2023'!AD28-'Свод '!D22-'Свод '!E22</f>
        <v>157326.32999999999</v>
      </c>
      <c r="G22" s="240">
        <f t="shared" si="1"/>
        <v>427028.61</v>
      </c>
      <c r="H22" s="160">
        <f t="shared" si="2"/>
        <v>20632.224419999999</v>
      </c>
      <c r="I22" s="160">
        <f t="shared" si="3"/>
        <v>12035.464245000001</v>
      </c>
      <c r="J22" s="160">
        <f t="shared" si="4"/>
        <v>10316.112209999999</v>
      </c>
      <c r="K22" s="159">
        <f t="shared" si="5"/>
        <v>470012.41087499994</v>
      </c>
      <c r="L22" s="159"/>
      <c r="M22" s="161">
        <f t="shared" si="6"/>
        <v>404553.42</v>
      </c>
    </row>
    <row r="23" spans="1:13" s="177" customFormat="1" ht="15.75" customHeight="1">
      <c r="A23" s="157">
        <v>8</v>
      </c>
      <c r="B23" s="180" t="s">
        <v>806</v>
      </c>
      <c r="C23" s="165">
        <f>'АУП 2023'!E22+'АУП 2023'!E23+'АУП 2023'!E24</f>
        <v>3</v>
      </c>
      <c r="D23" s="159">
        <f>'АУП 2023'!M22+'АУП 2023'!M23+'АУП 2023'!M24</f>
        <v>655231.42500000005</v>
      </c>
      <c r="E23" s="159">
        <f>'АУП 2023'!Q22+'АУП 2023'!Q23+'АУП 2023'!Q24</f>
        <v>131046.285</v>
      </c>
      <c r="F23" s="159">
        <f>'АУП 2023'!AD22+'АУП 2023'!AD23+'АУП 2023'!AD24-'Свод '!D23-'Свод '!E23</f>
        <v>218978.25374999995</v>
      </c>
      <c r="G23" s="240">
        <f t="shared" si="1"/>
        <v>1005255.96375</v>
      </c>
      <c r="H23" s="160">
        <f t="shared" si="2"/>
        <v>47207.322652499999</v>
      </c>
      <c r="I23" s="160">
        <f t="shared" si="3"/>
        <v>27537.604880625004</v>
      </c>
      <c r="J23" s="160">
        <f t="shared" si="4"/>
        <v>23603.66132625</v>
      </c>
      <c r="K23" s="159">
        <f t="shared" si="5"/>
        <v>1103604.552609375</v>
      </c>
      <c r="L23" s="159"/>
      <c r="M23" s="161">
        <f t="shared" si="6"/>
        <v>1179416.5650000002</v>
      </c>
    </row>
    <row r="24" spans="1:13" s="177" customFormat="1" ht="15.75" customHeight="1">
      <c r="A24" s="157">
        <v>9</v>
      </c>
      <c r="B24" s="183" t="s">
        <v>807</v>
      </c>
      <c r="C24" s="165">
        <f>'АУП 2023'!E27</f>
        <v>1</v>
      </c>
      <c r="D24" s="159">
        <f>'АУП 2023'!M27</f>
        <v>183163.94999999995</v>
      </c>
      <c r="E24" s="159">
        <f>'АУП 2023'!Q27</f>
        <v>36632.789999999994</v>
      </c>
      <c r="F24" s="159">
        <f>'АУП 2023'!AD27-'Свод '!D24-'Свод '!E24</f>
        <v>73265.58</v>
      </c>
      <c r="G24" s="240">
        <f t="shared" si="1"/>
        <v>293062.31999999995</v>
      </c>
      <c r="H24" s="160">
        <f t="shared" si="2"/>
        <v>13847.194619999997</v>
      </c>
      <c r="I24" s="160">
        <f t="shared" si="3"/>
        <v>8077.5301949999994</v>
      </c>
      <c r="J24" s="160">
        <f t="shared" si="4"/>
        <v>6923.5973099999983</v>
      </c>
      <c r="K24" s="159">
        <f t="shared" si="5"/>
        <v>321910.64212499995</v>
      </c>
      <c r="L24" s="159"/>
      <c r="M24" s="161">
        <f t="shared" si="6"/>
        <v>329695.10999999993</v>
      </c>
    </row>
    <row r="25" spans="1:13" s="177" customFormat="1" ht="15.75" customHeight="1">
      <c r="A25" s="157">
        <v>10</v>
      </c>
      <c r="B25" s="180" t="s">
        <v>808</v>
      </c>
      <c r="C25" s="165">
        <f>'АУП 2023'!E25+'АУП 2023'!E26</f>
        <v>2</v>
      </c>
      <c r="D25" s="159">
        <f>'АУП 2023'!M25+'АУП 2023'!M26</f>
        <v>361903.65</v>
      </c>
      <c r="E25" s="159">
        <f>'АУП 2023'!Q25+'АУП 2023'!Q26</f>
        <v>72380.73</v>
      </c>
      <c r="F25" s="159">
        <f>'АУП 2023'!AD25+'АУП 2023'!AD26-'Свод '!D25-'Свод '!E25</f>
        <v>36190.364999999976</v>
      </c>
      <c r="G25" s="240">
        <f t="shared" si="1"/>
        <v>470474.745</v>
      </c>
      <c r="H25" s="160">
        <f t="shared" si="2"/>
        <v>21497.076809999999</v>
      </c>
      <c r="I25" s="160">
        <f t="shared" si="3"/>
        <v>12539.961472500001</v>
      </c>
      <c r="J25" s="160">
        <f t="shared" si="4"/>
        <v>10748.538404999999</v>
      </c>
      <c r="K25" s="159">
        <f t="shared" si="5"/>
        <v>515260.32168749999</v>
      </c>
      <c r="L25" s="159"/>
      <c r="M25" s="161">
        <f t="shared" si="6"/>
        <v>651426.57000000007</v>
      </c>
    </row>
    <row r="26" spans="1:13" s="177" customFormat="1" ht="15.75" customHeight="1">
      <c r="A26" s="157">
        <v>11</v>
      </c>
      <c r="B26" s="180" t="s">
        <v>405</v>
      </c>
      <c r="C26" s="165">
        <f>'АУП 2023'!E34</f>
        <v>1</v>
      </c>
      <c r="D26" s="159">
        <f>'АУП 2023'!M34</f>
        <v>164139.67499999999</v>
      </c>
      <c r="E26" s="159">
        <f>'АУП 2023'!Q34</f>
        <v>32827.934999999998</v>
      </c>
      <c r="F26" s="159">
        <f>'АУП 2023'!AD34-'Свод '!D26-'Свод '!E26</f>
        <v>16413.967499999999</v>
      </c>
      <c r="G26" s="240">
        <f t="shared" si="1"/>
        <v>213381.57749999998</v>
      </c>
      <c r="H26" s="160">
        <f t="shared" si="2"/>
        <v>9749.8966949999976</v>
      </c>
      <c r="I26" s="160">
        <f t="shared" si="3"/>
        <v>5687.4397387499994</v>
      </c>
      <c r="J26" s="160">
        <f t="shared" si="4"/>
        <v>4874.9483474999988</v>
      </c>
      <c r="K26" s="159">
        <f t="shared" si="5"/>
        <v>233693.86228124998</v>
      </c>
      <c r="L26" s="159"/>
      <c r="M26" s="161">
        <f t="shared" si="6"/>
        <v>295451.41499999998</v>
      </c>
    </row>
    <row r="27" spans="1:13" s="177" customFormat="1" ht="15.75" customHeight="1">
      <c r="A27" s="157">
        <v>12</v>
      </c>
      <c r="B27" s="180" t="s">
        <v>422</v>
      </c>
      <c r="C27" s="165">
        <f>'АУП 2023'!E43</f>
        <v>1</v>
      </c>
      <c r="D27" s="159">
        <f>'АУП 2023'!M43</f>
        <v>174315.44999999998</v>
      </c>
      <c r="E27" s="159">
        <f>'АУП 2023'!Q43</f>
        <v>34863.089999999997</v>
      </c>
      <c r="F27" s="159">
        <f>'АУП 2023'!AD43-'Свод '!D27-'Свод '!E27</f>
        <v>17431.545000000013</v>
      </c>
      <c r="G27" s="240">
        <f>+D27+E27+F27</f>
        <v>226610.08499999999</v>
      </c>
      <c r="H27" s="160">
        <f>(G27-E27-(G27-E27)*10%)*6%</f>
        <v>10354.337729999999</v>
      </c>
      <c r="I27" s="160">
        <f>(G27-E27-(G27-E27)*10%)*3.5%</f>
        <v>6040.0303425000011</v>
      </c>
      <c r="J27" s="160">
        <f>(G27-E27-(G27-E27)*10%)*3%</f>
        <v>5177.1688649999996</v>
      </c>
      <c r="K27" s="159">
        <f>+G27+H27+I27+J27</f>
        <v>248181.62193749996</v>
      </c>
      <c r="L27" s="159"/>
      <c r="M27" s="161">
        <f>D27*2-E27</f>
        <v>313767.80999999994</v>
      </c>
    </row>
    <row r="28" spans="1:13" s="177" customFormat="1" ht="15.75" customHeight="1">
      <c r="A28" s="157">
        <v>13</v>
      </c>
      <c r="B28" s="180" t="s">
        <v>406</v>
      </c>
      <c r="C28" s="165">
        <f>'АУП 2023'!E29+'АУП 2023'!E30+'АУП 2023'!E31+'АУП 2023'!E32</f>
        <v>4</v>
      </c>
      <c r="D28" s="159">
        <f>'АУП 2023'!M29+'АУП 2023'!M30+'АУП 2023'!M31+'АУП 2023'!M32</f>
        <v>681776.92500000005</v>
      </c>
      <c r="E28" s="159">
        <f>'АУП 2023'!Q29+'АУП 2023'!Q30+'АУП 2023'!Q31+'АУП 2023'!Q32</f>
        <v>136355.38500000001</v>
      </c>
      <c r="F28" s="159">
        <f>'АУП 2023'!AD29+'АУП 2023'!AD30+'АУП 2023'!AD31+'АУП 2023'!AD32-'Свод '!D28-'Свод '!E28</f>
        <v>272710.77</v>
      </c>
      <c r="G28" s="240">
        <f t="shared" si="1"/>
        <v>1090843.08</v>
      </c>
      <c r="H28" s="160">
        <f t="shared" si="2"/>
        <v>51542.335529999997</v>
      </c>
      <c r="I28" s="160">
        <f t="shared" si="3"/>
        <v>30066.362392500003</v>
      </c>
      <c r="J28" s="160">
        <f t="shared" si="4"/>
        <v>25771.167764999998</v>
      </c>
      <c r="K28" s="159">
        <f t="shared" si="5"/>
        <v>1198222.9456875001</v>
      </c>
      <c r="L28" s="159"/>
      <c r="M28" s="161">
        <f t="shared" si="6"/>
        <v>1227198.4650000001</v>
      </c>
    </row>
    <row r="29" spans="1:13" s="177" customFormat="1" ht="15.75" customHeight="1">
      <c r="A29" s="157">
        <v>14</v>
      </c>
      <c r="B29" s="181" t="s">
        <v>407</v>
      </c>
      <c r="C29" s="165">
        <f>МҰҒАЛІМ!L22</f>
        <v>128.56</v>
      </c>
      <c r="D29" s="159">
        <f>МҰҒАЛІМ!T22</f>
        <v>28745458.312500007</v>
      </c>
      <c r="E29" s="159">
        <f>МҰҒАЛІМ!V22</f>
        <v>5749091.6625000024</v>
      </c>
      <c r="F29" s="159">
        <f>МҰҒАЛІМ!AQ22-'Свод '!D29-'Свод '!E29</f>
        <v>21785517.853359371</v>
      </c>
      <c r="G29" s="240">
        <f t="shared" si="1"/>
        <v>56280067.82835938</v>
      </c>
      <c r="H29" s="160">
        <f t="shared" si="2"/>
        <v>2728672.7129564062</v>
      </c>
      <c r="I29" s="160">
        <f t="shared" si="3"/>
        <v>1591725.7492245706</v>
      </c>
      <c r="J29" s="160">
        <f t="shared" si="4"/>
        <v>1364336.3564782031</v>
      </c>
      <c r="K29" s="159">
        <f t="shared" si="5"/>
        <v>61964802.647018567</v>
      </c>
      <c r="L29" s="159"/>
      <c r="M29" s="161">
        <f t="shared" si="6"/>
        <v>51741824.962500013</v>
      </c>
    </row>
    <row r="30" spans="1:13" s="177" customFormat="1" ht="15.75" customHeight="1">
      <c r="A30" s="157">
        <v>15</v>
      </c>
      <c r="B30" s="181" t="s">
        <v>428</v>
      </c>
      <c r="C30" s="165">
        <f>'АУП 2023'!E44+'АУП 2023'!E45+'АУП 2023'!E46+'АУП 2023'!E47+'АУП 2023'!E48</f>
        <v>5</v>
      </c>
      <c r="D30" s="159">
        <f>'АУП 2023'!M44+'АУП 2023'!M45+'АУП 2023'!M46+'АУП 2023'!M47+'АУП 2023'!M48</f>
        <v>893698.5</v>
      </c>
      <c r="E30" s="159">
        <f>'АУП 2023'!Q44+'АУП 2023'!Q45+'АУП 2023'!Q46+'АУП 2023'!Q47+'АУП 2023'!Q48</f>
        <v>178739.7</v>
      </c>
      <c r="F30" s="159">
        <f>'АУП 2023'!AD44+'АУП 2023'!AD45+'АУП 2023'!AD46+'АУП 2023'!AD47+'АУП 2023'!AD48-'Свод '!D30-'Свод '!E30</f>
        <v>211987.93874999991</v>
      </c>
      <c r="G30" s="240">
        <f t="shared" si="1"/>
        <v>1284426.1387499999</v>
      </c>
      <c r="H30" s="160">
        <f t="shared" si="2"/>
        <v>59707.067692499993</v>
      </c>
      <c r="I30" s="160">
        <f t="shared" si="3"/>
        <v>34829.122820625002</v>
      </c>
      <c r="J30" s="160">
        <f t="shared" si="4"/>
        <v>29853.533846249997</v>
      </c>
      <c r="K30" s="159">
        <f t="shared" si="5"/>
        <v>1408815.8631093751</v>
      </c>
      <c r="L30" s="159"/>
      <c r="M30" s="161">
        <f t="shared" si="6"/>
        <v>1608657.3</v>
      </c>
    </row>
    <row r="31" spans="1:13" s="177" customFormat="1" ht="15.75" customHeight="1">
      <c r="A31" s="157">
        <v>16</v>
      </c>
      <c r="B31" s="425" t="s">
        <v>805</v>
      </c>
      <c r="C31" s="165">
        <f>'АУП 2023'!E35+'АУП 2023'!E36+'АУП 2023'!E37+'АУП 2023'!E38+'АУП 2023'!E39+'АУП 2023'!E40+'АУП 2023'!E41+'АУП 2023'!E42</f>
        <v>6.75</v>
      </c>
      <c r="D31" s="159">
        <f>'АУП 2023'!M35+'АУП 2023'!M36+'АУП 2023'!M37+'АУП 2023'!M38+'АУП 2023'!M39+'АУП 2023'!M40+'АУП 2023'!M41+'АУП 2023'!M42</f>
        <v>1209921.76875</v>
      </c>
      <c r="E31" s="159">
        <f>'АУП 2023'!Q35+'АУП 2023'!Q36+'АУП 2023'!Q37+'АУП 2023'!Q38+'АУП 2023'!Q39+'АУП 2023'!Q40+'АУП 2023'!Q41+'АУП 2023'!Q42</f>
        <v>241984.35375000004</v>
      </c>
      <c r="F31" s="159">
        <f>'АУП 2023'!AD35+'АУП 2023'!AD36+'АУП 2023'!AD37+'АУП 2023'!AD38+'АУП 2023'!AD39+'АУП 2023'!AD40+'АУП 2023'!AD41+'АУП 2023'!AD42-'Свод '!D31-'Свод '!E31</f>
        <v>315305.23687500018</v>
      </c>
      <c r="G31" s="159">
        <f t="shared" si="1"/>
        <v>1767211.3593750002</v>
      </c>
      <c r="H31" s="160">
        <f t="shared" si="2"/>
        <v>82362.258303750015</v>
      </c>
      <c r="I31" s="160">
        <f t="shared" si="3"/>
        <v>48044.650677187514</v>
      </c>
      <c r="J31" s="160">
        <f t="shared" si="4"/>
        <v>41181.129151875008</v>
      </c>
      <c r="K31" s="159">
        <f t="shared" si="5"/>
        <v>1938799.3975078128</v>
      </c>
      <c r="L31" s="159"/>
      <c r="M31" s="161">
        <f t="shared" si="6"/>
        <v>2177859.1837499999</v>
      </c>
    </row>
    <row r="32" spans="1:13" s="177" customFormat="1" ht="18" customHeight="1">
      <c r="A32" s="163"/>
      <c r="B32" s="163" t="s">
        <v>409</v>
      </c>
      <c r="C32" s="166">
        <f>SUM(C21:C31)</f>
        <v>154.31</v>
      </c>
      <c r="D32" s="164">
        <f>SUM(D21:D31)</f>
        <v>33464695.18125001</v>
      </c>
      <c r="E32" s="164">
        <f>SUM(E21:E31)</f>
        <v>6692939.0362500027</v>
      </c>
      <c r="F32" s="164">
        <f>SUM(F21:F31)</f>
        <v>23122161.20273437</v>
      </c>
      <c r="G32" s="164">
        <f>SUM(G21:G31)</f>
        <v>63279795.420234382</v>
      </c>
      <c r="H32" s="164">
        <f t="shared" ref="H32:M32" si="7">SUM(H21:H31)</f>
        <v>3055690.2447351562</v>
      </c>
      <c r="I32" s="164">
        <f t="shared" si="7"/>
        <v>1782485.9760955083</v>
      </c>
      <c r="J32" s="164">
        <f t="shared" si="7"/>
        <v>1527845.1223675781</v>
      </c>
      <c r="K32" s="164">
        <f t="shared" si="7"/>
        <v>69645816.763432637</v>
      </c>
      <c r="L32" s="164">
        <f t="shared" si="7"/>
        <v>0</v>
      </c>
      <c r="M32" s="164">
        <f t="shared" si="7"/>
        <v>60236451.326250017</v>
      </c>
    </row>
    <row r="33" spans="1:13" s="177" customFormat="1" ht="16.5" customHeight="1">
      <c r="A33" s="157">
        <v>17</v>
      </c>
      <c r="B33" s="422" t="s">
        <v>410</v>
      </c>
      <c r="C33" s="165">
        <f>'АУП 2023'!E75+'АУП 2023'!E76</f>
        <v>2</v>
      </c>
      <c r="D33" s="159">
        <f>'АУП 2023'!M75+'АУП 2023'!M76</f>
        <v>180394.36950000003</v>
      </c>
      <c r="E33" s="159">
        <f>'АУП 2023'!Q75+'АУП 2023'!Q76</f>
        <v>36078.873900000006</v>
      </c>
      <c r="F33" s="159">
        <f>'АУП 2023'!AD75+'АУП 2023'!AD76-'Свод '!D33-'Свод '!E33</f>
        <v>18039.436950000003</v>
      </c>
      <c r="G33" s="159">
        <f t="shared" ref="G33:G39" si="8">+D33+E33+F33</f>
        <v>234512.68035000004</v>
      </c>
      <c r="H33" s="160">
        <f t="shared" ref="H33:H39" si="9">(G33-E33-(G33-E33)*10%)*6%</f>
        <v>10715.425548300002</v>
      </c>
      <c r="I33" s="160">
        <f t="shared" ref="I33:I39" si="10">(G33-E33-(G33-E33)*10%)*3.5%</f>
        <v>6250.6649031750021</v>
      </c>
      <c r="J33" s="160">
        <f t="shared" ref="J33:J39" si="11">(G33-E33-(G33-E33)*10%)*3%</f>
        <v>5357.7127741500008</v>
      </c>
      <c r="K33" s="159">
        <f t="shared" ref="K33:K39" si="12">+G33+H33+I33+J33</f>
        <v>256836.48357562505</v>
      </c>
      <c r="L33" s="159"/>
      <c r="M33" s="161">
        <f>D33*2</f>
        <v>360788.73900000006</v>
      </c>
    </row>
    <row r="34" spans="1:13" s="177" customFormat="1" ht="16.5" customHeight="1">
      <c r="A34" s="157">
        <v>18</v>
      </c>
      <c r="B34" s="182" t="s">
        <v>411</v>
      </c>
      <c r="C34" s="165">
        <v>1</v>
      </c>
      <c r="D34" s="159">
        <f>'АУП 2023'!M74</f>
        <v>118295.59650000001</v>
      </c>
      <c r="E34" s="159">
        <f>'АУП 2023'!Q74</f>
        <v>23659.119300000006</v>
      </c>
      <c r="F34" s="159">
        <f>'АУП 2023'!AD74-'Свод '!D34-'Свод '!E34</f>
        <v>11829.559649999996</v>
      </c>
      <c r="G34" s="159">
        <f t="shared" si="8"/>
        <v>153784.27545000002</v>
      </c>
      <c r="H34" s="160">
        <f t="shared" si="9"/>
        <v>7026.7584321000004</v>
      </c>
      <c r="I34" s="160">
        <f t="shared" si="10"/>
        <v>4098.9424187250006</v>
      </c>
      <c r="J34" s="160">
        <f t="shared" si="11"/>
        <v>3513.3792160500002</v>
      </c>
      <c r="K34" s="159">
        <f t="shared" si="12"/>
        <v>168423.35551687502</v>
      </c>
      <c r="L34" s="159"/>
      <c r="M34" s="161">
        <f>D34*2</f>
        <v>236591.19300000003</v>
      </c>
    </row>
    <row r="35" spans="1:13" s="177" customFormat="1" ht="16.5" customHeight="1">
      <c r="A35" s="157">
        <v>19</v>
      </c>
      <c r="B35" s="180" t="s">
        <v>412</v>
      </c>
      <c r="C35" s="165">
        <f>'АУП 2023'!E52+'АУП 2023'!E53+'АУП 2023'!E54+'АУП 2023'!E55+'АУП 2023'!E56+'АУП 2023'!E57+'АУП 2023'!E58+'АУП 2023'!E59+'АУП 2023'!E60+'АУП 2023'!E61+'АУП 2023'!E62+'АУП 2023'!E63+'АУП 2023'!E64+'АУП 2023'!E65+'АУП 2023'!E66+'АУП 2023'!E67+'АУП 2023'!E68+'АУП 2023'!E69</f>
        <v>17.5</v>
      </c>
      <c r="D35" s="159">
        <f>'АУП 2023'!M52+'АУП 2023'!M53+'АУП 2023'!M54+'АУП 2023'!M55+'АУП 2023'!M56+'АУП 2023'!M57+'АУП 2023'!M58+'АУП 2023'!M59+'АУП 2023'!M60+'АУП 2023'!M61+'АУП 2023'!M62+'АУП 2023'!M63+'АУП 2023'!M64+'АУП 2023'!M65+'АУП 2023'!M66+'АУП 2023'!M67+'АУП 2023'!M68+'АУП 2023'!M69</f>
        <v>2187249.6543749999</v>
      </c>
      <c r="E35" s="159">
        <f>'АУП 2023'!Q52+'АУП 2023'!Q53+'АУП 2023'!Q54+'АУП 2023'!Q55+'АУП 2023'!Q56+'АУП 2023'!Q57+'АУП 2023'!Q58+'АУП 2023'!Q59+'АУП 2023'!Q60+'АУП 2023'!Q61+'АУП 2023'!Q62+'АУП 2023'!Q63+'АУП 2023'!Q64+'АУП 2023'!Q65+'АУП 2023'!Q65+'АУП 2023'!Q67+'АУП 2023'!Q68+'АУП 2023'!Q69</f>
        <v>437449.93087500002</v>
      </c>
      <c r="F35" s="159">
        <f>'АУП 2023'!AD52+'АУП 2023'!AD53+'АУП 2023'!AD54+'АУП 2023'!AD55+'АУП 2023'!AD56+'АУП 2023'!AD57+'АУП 2023'!AD58+'АУП 2023'!AD59+'АУП 2023'!AD60+'АУП 2023'!AD61+'АУП 2023'!AD62+'АУП 2023'!AD63+'АУП 2023'!AD64+'АУП 2023'!AD65+'АУП 2023'!AD66+'АУП 2023'!AD67+'АУП 2023'!AD68+'АУП 2023'!AD69-'Свод '!D35-'Свод '!E35</f>
        <v>218724.9654374994</v>
      </c>
      <c r="G35" s="159">
        <f t="shared" si="8"/>
        <v>2843424.5506874993</v>
      </c>
      <c r="H35" s="160">
        <f t="shared" si="9"/>
        <v>129922.62946987496</v>
      </c>
      <c r="I35" s="160">
        <f t="shared" si="10"/>
        <v>75788.200524093729</v>
      </c>
      <c r="J35" s="160">
        <f t="shared" si="11"/>
        <v>64961.314734937478</v>
      </c>
      <c r="K35" s="159">
        <f t="shared" si="12"/>
        <v>3114096.6954164053</v>
      </c>
      <c r="L35" s="159"/>
      <c r="M35" s="161">
        <f>D35*2-E35</f>
        <v>3937049.3778749998</v>
      </c>
    </row>
    <row r="36" spans="1:13" s="177" customFormat="1" ht="16.5" customHeight="1">
      <c r="A36" s="157">
        <v>20</v>
      </c>
      <c r="B36" s="183" t="s">
        <v>243</v>
      </c>
      <c r="C36" s="165">
        <f>'АУП 2023'!E50</f>
        <v>1</v>
      </c>
      <c r="D36" s="159">
        <f>'АУП 2023'!M50</f>
        <v>152360.109375</v>
      </c>
      <c r="E36" s="159">
        <f>'АУП 2023'!Q50</f>
        <v>30472.021875000002</v>
      </c>
      <c r="F36" s="159">
        <f>'АУП 2023'!AD50-'Свод '!D36-'Свод '!E36</f>
        <v>20545.010937499992</v>
      </c>
      <c r="G36" s="159">
        <f t="shared" si="8"/>
        <v>203377.14218749999</v>
      </c>
      <c r="H36" s="160">
        <f t="shared" si="9"/>
        <v>9336.8764968750002</v>
      </c>
      <c r="I36" s="160">
        <f t="shared" si="10"/>
        <v>5446.5112898437501</v>
      </c>
      <c r="J36" s="160">
        <f t="shared" si="11"/>
        <v>4668.4382484375001</v>
      </c>
      <c r="K36" s="159">
        <f t="shared" si="12"/>
        <v>222828.96822265623</v>
      </c>
      <c r="L36" s="159"/>
      <c r="M36" s="161">
        <f>D36*2-E36</f>
        <v>274248.19687500002</v>
      </c>
    </row>
    <row r="37" spans="1:13" s="177" customFormat="1" ht="16.5" customHeight="1">
      <c r="A37" s="157">
        <v>21</v>
      </c>
      <c r="B37" s="183" t="s">
        <v>247</v>
      </c>
      <c r="C37" s="165">
        <f>'АУП 2023'!E51</f>
        <v>1</v>
      </c>
      <c r="D37" s="159">
        <f>'АУП 2023'!M51</f>
        <v>142095.84937499999</v>
      </c>
      <c r="E37" s="159">
        <f>'АУП 2023'!Q51</f>
        <v>28419.169875</v>
      </c>
      <c r="F37" s="159">
        <f>'АУП 2023'!AD51-'Свод '!D37-'Свод '!E37</f>
        <v>19518.584937500003</v>
      </c>
      <c r="G37" s="159">
        <f>+D37+E37+F37</f>
        <v>190033.60418749999</v>
      </c>
      <c r="H37" s="160">
        <f>(G37-E37-(G37-E37)*10%)*6%</f>
        <v>8727.1794528749997</v>
      </c>
      <c r="I37" s="160">
        <f>(G37-E37-(G37-E37)*10%)*3.5%</f>
        <v>5090.8546808437504</v>
      </c>
      <c r="J37" s="160">
        <f>(G37-E37-(G37-E37)*10%)*3%</f>
        <v>4363.5897264374998</v>
      </c>
      <c r="K37" s="159">
        <f>+G37+H37+I37+J37</f>
        <v>208215.22804765622</v>
      </c>
      <c r="L37" s="159"/>
      <c r="M37" s="161">
        <f>D37*2-E37</f>
        <v>255772.52887499999</v>
      </c>
    </row>
    <row r="38" spans="1:13" s="177" customFormat="1" ht="16.5" customHeight="1">
      <c r="A38" s="157">
        <v>22</v>
      </c>
      <c r="B38" s="183" t="s">
        <v>430</v>
      </c>
      <c r="C38" s="165">
        <f>'АУП 2023'!E73</f>
        <v>1</v>
      </c>
      <c r="D38" s="159">
        <f>'АУП 2023'!M73</f>
        <v>234927.67499999999</v>
      </c>
      <c r="E38" s="159">
        <f>'АУП 2023'!Q73</f>
        <v>46985.535000000003</v>
      </c>
      <c r="F38" s="159">
        <f>'АУП 2023'!AD73-'Свод '!D38-'Свод '!E38</f>
        <v>23492.767500000045</v>
      </c>
      <c r="G38" s="159">
        <f t="shared" si="8"/>
        <v>305405.97750000004</v>
      </c>
      <c r="H38" s="160">
        <f t="shared" si="9"/>
        <v>13954.703895000001</v>
      </c>
      <c r="I38" s="160">
        <f t="shared" si="10"/>
        <v>8140.2439387500017</v>
      </c>
      <c r="J38" s="160">
        <f t="shared" si="11"/>
        <v>6977.3519475000003</v>
      </c>
      <c r="K38" s="159">
        <f t="shared" si="12"/>
        <v>334478.27728125005</v>
      </c>
      <c r="L38" s="159"/>
      <c r="M38" s="161">
        <f>D38*2-E38</f>
        <v>422869.81499999994</v>
      </c>
    </row>
    <row r="39" spans="1:13" s="177" customFormat="1" ht="16.5" customHeight="1">
      <c r="A39" s="157">
        <v>23</v>
      </c>
      <c r="B39" s="183" t="s">
        <v>429</v>
      </c>
      <c r="C39" s="165">
        <f>'АУП 2023'!E70+'АУП 2023'!E72+'АУП 2023'!E71</f>
        <v>2</v>
      </c>
      <c r="D39" s="159">
        <f>'АУП 2023'!M70+'АУП 2023'!M71+'АУП 2023'!M72</f>
        <v>348542.41500000004</v>
      </c>
      <c r="E39" s="159">
        <f>'АУП 2023'!Q70+'АУП 2023'!Q71+'АУП 2023'!Q72</f>
        <v>69708.483000000007</v>
      </c>
      <c r="F39" s="159">
        <f>'АУП 2023'!AD70+'АУП 2023'!AD71+'АУП 2023'!AD72-'Свод '!D39-'Свод '!E39</f>
        <v>34854.241500000004</v>
      </c>
      <c r="G39" s="159">
        <f t="shared" si="8"/>
        <v>453105.13950000005</v>
      </c>
      <c r="H39" s="160">
        <f t="shared" si="9"/>
        <v>20703.419451000002</v>
      </c>
      <c r="I39" s="160">
        <f t="shared" si="10"/>
        <v>12076.994679750003</v>
      </c>
      <c r="J39" s="160">
        <f t="shared" si="11"/>
        <v>10351.709725500001</v>
      </c>
      <c r="K39" s="159">
        <f t="shared" si="12"/>
        <v>496237.26335625007</v>
      </c>
      <c r="L39" s="159"/>
      <c r="M39" s="161">
        <f>D39*2-E39</f>
        <v>627376.34700000007</v>
      </c>
    </row>
    <row r="40" spans="1:13" s="177" customFormat="1" ht="18" customHeight="1">
      <c r="A40" s="163"/>
      <c r="B40" s="163" t="s">
        <v>413</v>
      </c>
      <c r="C40" s="167">
        <f t="shared" ref="C40:M40" si="13">SUM(C33:C39)</f>
        <v>25.5</v>
      </c>
      <c r="D40" s="164">
        <f t="shared" si="13"/>
        <v>3363865.669125</v>
      </c>
      <c r="E40" s="164">
        <f t="shared" si="13"/>
        <v>672773.13382500014</v>
      </c>
      <c r="F40" s="164">
        <f t="shared" si="13"/>
        <v>347004.56691249949</v>
      </c>
      <c r="G40" s="164">
        <f t="shared" si="13"/>
        <v>4383643.3698624996</v>
      </c>
      <c r="H40" s="164">
        <f t="shared" si="13"/>
        <v>200386.99274602495</v>
      </c>
      <c r="I40" s="164">
        <f t="shared" si="13"/>
        <v>116892.41243518124</v>
      </c>
      <c r="J40" s="164">
        <f t="shared" si="13"/>
        <v>100193.49637301247</v>
      </c>
      <c r="K40" s="164">
        <f t="shared" si="13"/>
        <v>4801116.2714167181</v>
      </c>
      <c r="L40" s="164">
        <f t="shared" si="13"/>
        <v>0</v>
      </c>
      <c r="M40" s="164">
        <f t="shared" si="13"/>
        <v>6114696.197625001</v>
      </c>
    </row>
    <row r="41" spans="1:13" s="177" customFormat="1" ht="14.25" customHeight="1">
      <c r="A41" s="157">
        <v>24</v>
      </c>
      <c r="B41" s="184" t="s">
        <v>431</v>
      </c>
      <c r="C41" s="423">
        <f>'АУП 2023'!E78</f>
        <v>1</v>
      </c>
      <c r="D41" s="159">
        <f>'АУП 2023'!M78</f>
        <v>83397.112500000003</v>
      </c>
      <c r="E41" s="159">
        <f>'АУП 2023'!Q78</f>
        <v>16679.422500000001</v>
      </c>
      <c r="F41" s="159">
        <f>D41*10%</f>
        <v>8339.7112500000003</v>
      </c>
      <c r="G41" s="159">
        <f>+D41+E41+F41</f>
        <v>108416.24625</v>
      </c>
      <c r="H41" s="160">
        <f>(G41-E41-(G41-E41)*10%)*6%</f>
        <v>4953.7884824999992</v>
      </c>
      <c r="I41" s="160">
        <f>(G41-E41-(G41-E41)*10%)*3.5%</f>
        <v>2889.7099481250002</v>
      </c>
      <c r="J41" s="160">
        <f>(G41-E41-(G41-E41)*10%)*3%</f>
        <v>2476.8942412499996</v>
      </c>
      <c r="K41" s="159">
        <f>+G41+H41+I41+J41</f>
        <v>118736.638921875</v>
      </c>
      <c r="L41" s="159"/>
      <c r="M41" s="161">
        <f>D41*2</f>
        <v>166794.22500000001</v>
      </c>
    </row>
    <row r="42" spans="1:13" s="177" customFormat="1" ht="14.25" customHeight="1">
      <c r="A42" s="157">
        <v>25</v>
      </c>
      <c r="B42" s="184" t="s">
        <v>804</v>
      </c>
      <c r="C42" s="423">
        <f>'АУП 2023'!E80</f>
        <v>0.5</v>
      </c>
      <c r="D42" s="159">
        <f>'АУП 2023'!M80</f>
        <v>40928.736749999996</v>
      </c>
      <c r="E42" s="159">
        <f>'АУП 2023'!Q80</f>
        <v>8185.7473499999996</v>
      </c>
      <c r="F42" s="159">
        <f>'АУП 2023'!AD80-'Свод '!D42-'Свод '!E42</f>
        <v>5862.5736749999978</v>
      </c>
      <c r="G42" s="159">
        <f>+D42+E42+F42</f>
        <v>54977.057774999994</v>
      </c>
      <c r="H42" s="160">
        <f>(G42-E42-(G42-E42)*10%)*6%</f>
        <v>2526.7307629499996</v>
      </c>
      <c r="I42" s="160">
        <f>(G42-E42-(G42-E42)*10%)*3.5%</f>
        <v>1473.9262783875001</v>
      </c>
      <c r="J42" s="160">
        <f>(G42-E42-(G42-E42)*10%)*3%</f>
        <v>1263.3653814749998</v>
      </c>
      <c r="K42" s="159">
        <f>+G42+H42+I42+J42</f>
        <v>60241.080197812495</v>
      </c>
      <c r="L42" s="159"/>
      <c r="M42" s="161">
        <f>D42*2</f>
        <v>81857.473499999993</v>
      </c>
    </row>
    <row r="43" spans="1:13" s="177" customFormat="1" ht="14.25" customHeight="1">
      <c r="A43" s="157">
        <v>26</v>
      </c>
      <c r="B43" s="184" t="s">
        <v>433</v>
      </c>
      <c r="C43" s="423">
        <f>'АУП 2023'!E81+'АУП 2023'!E82</f>
        <v>2</v>
      </c>
      <c r="D43" s="159">
        <f>'АУП 2023'!M81+'АУП 2023'!M82</f>
        <v>165254.58600000001</v>
      </c>
      <c r="E43" s="159">
        <f>'АУП 2023'!Q81+'АУП 2023'!Q82</f>
        <v>33050.917200000004</v>
      </c>
      <c r="F43" s="159">
        <f>'АУП 2023'!AD81+'АУП 2023'!AD82-'Свод '!D43-'Свод '!E43</f>
        <v>71246.178600000014</v>
      </c>
      <c r="G43" s="159">
        <f>+D43+E43+F43</f>
        <v>269551.68180000002</v>
      </c>
      <c r="H43" s="160">
        <f>(G43-E43-(G43-E43)*10%)*6%</f>
        <v>12771.0412884</v>
      </c>
      <c r="I43" s="160">
        <f>(G43-E43-(G43-E43)*10%)*3.5%</f>
        <v>7449.7740849000011</v>
      </c>
      <c r="J43" s="160">
        <f>(G43-E43-(G43-E43)*10%)*3%</f>
        <v>6385.5206441999999</v>
      </c>
      <c r="K43" s="159">
        <f>+G43+H43+I43+J43</f>
        <v>296158.01781749999</v>
      </c>
      <c r="L43" s="159"/>
      <c r="M43" s="161">
        <f>D43*2</f>
        <v>330509.17200000002</v>
      </c>
    </row>
    <row r="44" spans="1:13" s="177" customFormat="1" ht="14.25" customHeight="1">
      <c r="A44" s="157">
        <v>27</v>
      </c>
      <c r="B44" s="424" t="s">
        <v>356</v>
      </c>
      <c r="C44" s="423">
        <f>'АУП 2023'!E79</f>
        <v>1</v>
      </c>
      <c r="D44" s="159">
        <f>'АУП 2023'!M79</f>
        <v>77238.556499999992</v>
      </c>
      <c r="E44" s="159">
        <f>'АУП 2023'!Q79</f>
        <v>15447.711299999999</v>
      </c>
      <c r="F44" s="159">
        <f>'АУП 2023'!AD79-'Свод '!D44-'Свод '!E44</f>
        <v>7723.8556499999941</v>
      </c>
      <c r="G44" s="159">
        <f t="shared" si="1"/>
        <v>100410.12344999998</v>
      </c>
      <c r="H44" s="160">
        <f t="shared" si="2"/>
        <v>4587.9702560999995</v>
      </c>
      <c r="I44" s="160">
        <f t="shared" si="3"/>
        <v>2676.3159827249997</v>
      </c>
      <c r="J44" s="160">
        <f>(G44-E44-(G44-E44)*10%)*3%</f>
        <v>2293.9851280499997</v>
      </c>
      <c r="K44" s="159">
        <f t="shared" si="5"/>
        <v>109968.39481687499</v>
      </c>
      <c r="L44" s="159"/>
      <c r="M44" s="161">
        <f>D44*2</f>
        <v>154477.11299999998</v>
      </c>
    </row>
    <row r="45" spans="1:13" s="177" customFormat="1" ht="21" customHeight="1">
      <c r="A45" s="163"/>
      <c r="B45" s="163" t="s">
        <v>415</v>
      </c>
      <c r="C45" s="167">
        <f>SUM(C41:C44)</f>
        <v>4.5</v>
      </c>
      <c r="D45" s="167">
        <f t="shared" ref="D45:M45" si="14">SUM(D41:D44)</f>
        <v>366818.99174999999</v>
      </c>
      <c r="E45" s="167">
        <f t="shared" si="14"/>
        <v>73363.798349999997</v>
      </c>
      <c r="F45" s="167">
        <f t="shared" si="14"/>
        <v>93172.319175000011</v>
      </c>
      <c r="G45" s="164">
        <f t="shared" si="14"/>
        <v>533355.10927499994</v>
      </c>
      <c r="H45" s="167">
        <f t="shared" si="14"/>
        <v>24839.530789949997</v>
      </c>
      <c r="I45" s="167">
        <f t="shared" si="14"/>
        <v>14489.726294137503</v>
      </c>
      <c r="J45" s="167">
        <f t="shared" si="14"/>
        <v>12419.765394974998</v>
      </c>
      <c r="K45" s="167">
        <f t="shared" si="14"/>
        <v>585104.13175406249</v>
      </c>
      <c r="L45" s="167">
        <f t="shared" si="14"/>
        <v>0</v>
      </c>
      <c r="M45" s="167">
        <f t="shared" si="14"/>
        <v>733637.98349999997</v>
      </c>
    </row>
    <row r="46" spans="1:13" s="177" customFormat="1" ht="30" customHeight="1">
      <c r="A46" s="157">
        <v>28</v>
      </c>
      <c r="B46" s="169" t="s">
        <v>416</v>
      </c>
      <c r="C46" s="423">
        <f>'АУП 2023'!E126+'АУП 2023'!E127+'АУП 2023'!E128</f>
        <v>3</v>
      </c>
      <c r="D46" s="159">
        <f>'АУП 2023'!M126+'АУП 2023'!M127+'АУП 2023'!M128</f>
        <v>218628.73799999995</v>
      </c>
      <c r="E46" s="159">
        <f>'АУП 2023'!Q126+'АУП 2023'!Q127+'АУП 2023'!Q128</f>
        <v>43725.747599999995</v>
      </c>
      <c r="F46" s="159">
        <f>'АУП 2023'!AD126+'АУП 2023'!AD127+'АУП 2023'!AD128-'Свод '!D46-'Свод '!E46</f>
        <v>21862.873800000008</v>
      </c>
      <c r="G46" s="240">
        <f t="shared" si="1"/>
        <v>284217.35939999996</v>
      </c>
      <c r="H46" s="160">
        <f t="shared" si="2"/>
        <v>12986.547037199996</v>
      </c>
      <c r="I46" s="160">
        <f t="shared" si="3"/>
        <v>7575.4857716999995</v>
      </c>
      <c r="J46" s="160">
        <f t="shared" ref="J46:J60" si="15">(G46-E46-(G46-E46)*10%)*3%</f>
        <v>6493.2735185999982</v>
      </c>
      <c r="K46" s="159">
        <f t="shared" si="5"/>
        <v>311272.66572749993</v>
      </c>
      <c r="L46" s="159"/>
      <c r="M46" s="161">
        <f>D46*2</f>
        <v>437257.47599999991</v>
      </c>
    </row>
    <row r="47" spans="1:13" s="177" customFormat="1" ht="15" customHeight="1">
      <c r="A47" s="157">
        <v>29</v>
      </c>
      <c r="B47" s="170" t="s">
        <v>417</v>
      </c>
      <c r="C47" s="423">
        <f>'АУП 2023'!E88+'АУП 2023'!E89</f>
        <v>2</v>
      </c>
      <c r="D47" s="159">
        <f>'АУП 2023'!M88+'АУП 2023'!M89</f>
        <v>142160.00099999999</v>
      </c>
      <c r="E47" s="159">
        <f>'АУП 2023'!Q88+'АУП 2023'!Q89</f>
        <v>28432.000199999999</v>
      </c>
      <c r="F47" s="159">
        <f>'АУП 2023'!AD88+'АУП 2023'!AD89-'Свод '!D47-'Свод '!E47</f>
        <v>14216.000100000016</v>
      </c>
      <c r="G47" s="240">
        <f>+D47+E47+F47</f>
        <v>184808.0013</v>
      </c>
      <c r="H47" s="160">
        <f>(G47-E47-(G47-E47)*10%)*6%</f>
        <v>8444.3040593999995</v>
      </c>
      <c r="I47" s="160">
        <f>(G47-E47-(G47-E47)*10%)*3.5%</f>
        <v>4925.8440346500001</v>
      </c>
      <c r="J47" s="160">
        <f>(G47-E47-(G47-E47)*10%)*3%</f>
        <v>4222.1520296999997</v>
      </c>
      <c r="K47" s="159">
        <f>+G47+H47+I47+J47</f>
        <v>202400.30142375</v>
      </c>
      <c r="L47" s="159"/>
      <c r="M47" s="161">
        <f>D47*2</f>
        <v>284320.00199999998</v>
      </c>
    </row>
    <row r="48" spans="1:13" s="177" customFormat="1" ht="15" customHeight="1">
      <c r="A48" s="157">
        <v>30</v>
      </c>
      <c r="B48" s="170" t="s">
        <v>332</v>
      </c>
      <c r="C48" s="423">
        <f>'АУП 2023'!E133</f>
        <v>1</v>
      </c>
      <c r="D48" s="159">
        <f>'АУП 2023'!M133</f>
        <v>72876.245999999985</v>
      </c>
      <c r="E48" s="159">
        <f>'АУП 2023'!Q133</f>
        <v>14575.249199999998</v>
      </c>
      <c r="F48" s="159">
        <f>'АУП 2023'!AD133-'Свод '!D48-'Свод '!E48</f>
        <v>7287.6246000000028</v>
      </c>
      <c r="G48" s="240">
        <f t="shared" si="1"/>
        <v>94739.119799999986</v>
      </c>
      <c r="H48" s="160">
        <f t="shared" si="2"/>
        <v>4328.8490124</v>
      </c>
      <c r="I48" s="160">
        <f t="shared" si="3"/>
        <v>2525.1619239000001</v>
      </c>
      <c r="J48" s="160">
        <f t="shared" si="15"/>
        <v>2164.4245062</v>
      </c>
      <c r="K48" s="159">
        <f t="shared" si="5"/>
        <v>103757.55524249998</v>
      </c>
      <c r="L48" s="159"/>
      <c r="M48" s="161">
        <f>D48*2</f>
        <v>145752.49199999997</v>
      </c>
    </row>
    <row r="49" spans="1:13" s="177" customFormat="1" ht="15" customHeight="1">
      <c r="A49" s="157">
        <v>31</v>
      </c>
      <c r="B49" s="170" t="s">
        <v>291</v>
      </c>
      <c r="C49" s="423">
        <f>'АУП 2023'!E131+'АУП 2023'!E132</f>
        <v>2</v>
      </c>
      <c r="D49" s="159">
        <f>'АУП 2023'!M131+'АУП 2023'!M132</f>
        <v>145752.49199999997</v>
      </c>
      <c r="E49" s="159">
        <f>'АУП 2023'!Q131+'АУП 2023'!Q132</f>
        <v>29150.498399999997</v>
      </c>
      <c r="F49" s="159">
        <f>'АУП 2023'!AD131+'АУП 2023'!AD132-'Свод '!D49-'Свод '!E49</f>
        <v>14575.249200000006</v>
      </c>
      <c r="G49" s="240">
        <f t="shared" si="1"/>
        <v>189478.23959999997</v>
      </c>
      <c r="H49" s="160">
        <f t="shared" si="2"/>
        <v>8657.6980248</v>
      </c>
      <c r="I49" s="160">
        <f t="shared" si="3"/>
        <v>5050.3238478000003</v>
      </c>
      <c r="J49" s="160">
        <f t="shared" si="15"/>
        <v>4328.8490124</v>
      </c>
      <c r="K49" s="159">
        <f t="shared" si="5"/>
        <v>207515.11048499995</v>
      </c>
      <c r="L49" s="159"/>
      <c r="M49" s="161">
        <f>D49*2</f>
        <v>291504.98399999994</v>
      </c>
    </row>
    <row r="50" spans="1:13" s="177" customFormat="1" ht="15" customHeight="1">
      <c r="A50" s="157">
        <v>32</v>
      </c>
      <c r="B50" s="170" t="s">
        <v>289</v>
      </c>
      <c r="C50" s="423">
        <f>'АУП 2023'!E129+'АУП 2023'!E130</f>
        <v>2</v>
      </c>
      <c r="D50" s="159">
        <f>'АУП 2023'!M129+'АУП 2023'!M130</f>
        <v>145752.49199999997</v>
      </c>
      <c r="E50" s="159">
        <f>'АУП 2023'!Q129+'АУП 2023'!Q130</f>
        <v>29150.498399999997</v>
      </c>
      <c r="F50" s="159">
        <f>'АУП 2023'!AD129+'АУП 2023'!AD130-'Свод '!D50-'Свод '!E50</f>
        <v>14575.249200000006</v>
      </c>
      <c r="G50" s="240">
        <f t="shared" si="1"/>
        <v>189478.23959999997</v>
      </c>
      <c r="H50" s="160">
        <f t="shared" si="2"/>
        <v>8657.6980248</v>
      </c>
      <c r="I50" s="160">
        <f t="shared" si="3"/>
        <v>5050.3238478000003</v>
      </c>
      <c r="J50" s="160">
        <f t="shared" si="15"/>
        <v>4328.8490124</v>
      </c>
      <c r="K50" s="159">
        <f t="shared" si="5"/>
        <v>207515.11048499995</v>
      </c>
      <c r="L50" s="159"/>
      <c r="M50" s="161">
        <f>D50*2</f>
        <v>291504.98399999994</v>
      </c>
    </row>
    <row r="51" spans="1:13" s="177" customFormat="1" ht="15" customHeight="1">
      <c r="A51" s="157">
        <v>33</v>
      </c>
      <c r="B51" s="229" t="s">
        <v>441</v>
      </c>
      <c r="C51" s="423">
        <f>'АУП 2023'!E119</f>
        <v>1</v>
      </c>
      <c r="D51" s="159">
        <f>'АУП 2023'!M119</f>
        <v>72106.426500000001</v>
      </c>
      <c r="E51" s="159">
        <f>'АУП 2023'!Q119</f>
        <v>14421.285300000001</v>
      </c>
      <c r="F51" s="159">
        <f>'АУП 2023'!AD119-'Свод '!D51-'Свод '!E51</f>
        <v>10750.04264999999</v>
      </c>
      <c r="G51" s="240">
        <f t="shared" si="1"/>
        <v>97277.754449999993</v>
      </c>
      <c r="H51" s="160">
        <f t="shared" si="2"/>
        <v>4474.249334099999</v>
      </c>
      <c r="I51" s="160">
        <f t="shared" si="3"/>
        <v>2609.9787782249996</v>
      </c>
      <c r="J51" s="160">
        <f t="shared" si="15"/>
        <v>2237.1246670499995</v>
      </c>
      <c r="K51" s="159">
        <f t="shared" si="5"/>
        <v>106599.10722937499</v>
      </c>
      <c r="L51" s="159"/>
      <c r="M51" s="161">
        <f>D51</f>
        <v>72106.426500000001</v>
      </c>
    </row>
    <row r="52" spans="1:13" s="177" customFormat="1" ht="15" customHeight="1">
      <c r="A52" s="157">
        <v>34</v>
      </c>
      <c r="B52" s="170" t="s">
        <v>434</v>
      </c>
      <c r="C52" s="423">
        <f>'АУП 2023'!E135+'АУП 2023'!E136</f>
        <v>1.5</v>
      </c>
      <c r="D52" s="159">
        <f>'АУП 2023'!M135+'АУП 2023'!M136</f>
        <v>111238.91774999999</v>
      </c>
      <c r="E52" s="159">
        <f>'АУП 2023'!Q135+'АУП 2023'!Q136</f>
        <v>22247.78355</v>
      </c>
      <c r="F52" s="159">
        <f>'АУП 2023'!AD135+'АУП 2023'!AD136-'Свод '!D52-'Свод '!E52</f>
        <v>19087.541775000012</v>
      </c>
      <c r="G52" s="240">
        <f t="shared" si="1"/>
        <v>152574.24307500001</v>
      </c>
      <c r="H52" s="160">
        <f t="shared" si="2"/>
        <v>7037.6288143500005</v>
      </c>
      <c r="I52" s="160">
        <f t="shared" si="3"/>
        <v>4105.2834750375014</v>
      </c>
      <c r="J52" s="160">
        <f t="shared" si="15"/>
        <v>3518.8144071750003</v>
      </c>
      <c r="K52" s="159">
        <f t="shared" si="5"/>
        <v>167235.96977156249</v>
      </c>
      <c r="L52" s="159"/>
      <c r="M52" s="161">
        <f>D52*2</f>
        <v>222477.83549999999</v>
      </c>
    </row>
    <row r="53" spans="1:13" s="177" customFormat="1" ht="15" customHeight="1">
      <c r="A53" s="157">
        <v>35</v>
      </c>
      <c r="B53" s="170" t="s">
        <v>435</v>
      </c>
      <c r="C53" s="423">
        <f>'АУП 2023'!E134</f>
        <v>0.5</v>
      </c>
      <c r="D53" s="159">
        <f>'АУП 2023'!M134</f>
        <v>36438.122999999992</v>
      </c>
      <c r="E53" s="159">
        <f>'АУП 2023'!Q134</f>
        <v>7287.6245999999992</v>
      </c>
      <c r="F53" s="159">
        <f>'АУП 2023'!AD134-'Свод '!D53-'Свод '!E53</f>
        <v>6298.3623000000043</v>
      </c>
      <c r="G53" s="240">
        <f t="shared" si="1"/>
        <v>50024.109899999996</v>
      </c>
      <c r="H53" s="160">
        <f t="shared" si="2"/>
        <v>2307.7702061999998</v>
      </c>
      <c r="I53" s="160">
        <f t="shared" si="3"/>
        <v>1346.1992869500002</v>
      </c>
      <c r="J53" s="160">
        <f t="shared" si="15"/>
        <v>1153.8851030999999</v>
      </c>
      <c r="K53" s="159">
        <f t="shared" si="5"/>
        <v>54831.964496250002</v>
      </c>
      <c r="L53" s="159"/>
      <c r="M53" s="161">
        <f>D53*2</f>
        <v>72876.245999999985</v>
      </c>
    </row>
    <row r="54" spans="1:13" s="177" customFormat="1" ht="15" customHeight="1">
      <c r="A54" s="157">
        <v>36</v>
      </c>
      <c r="B54" s="185" t="s">
        <v>440</v>
      </c>
      <c r="C54" s="423">
        <f>'АУП 2023'!E117+'АУП 2023'!E118</f>
        <v>1.5</v>
      </c>
      <c r="D54" s="159">
        <f>'АУП 2023'!M117+'АУП 2023'!M118</f>
        <v>108159.63975</v>
      </c>
      <c r="E54" s="159">
        <f>'АУП 2023'!Q117+'АУП 2023'!Q118</f>
        <v>21631.927950000001</v>
      </c>
      <c r="F54" s="159">
        <f>'АУП 2023'!AD117+'АУП 2023'!AD118-'Свод '!D54-'Свод '!E54</f>
        <v>16125.063974999979</v>
      </c>
      <c r="G54" s="240">
        <f t="shared" si="1"/>
        <v>145916.63167499998</v>
      </c>
      <c r="H54" s="160">
        <f t="shared" si="2"/>
        <v>6711.3740011499985</v>
      </c>
      <c r="I54" s="160">
        <f t="shared" si="3"/>
        <v>3914.9681673374998</v>
      </c>
      <c r="J54" s="160">
        <f t="shared" si="15"/>
        <v>3355.6870005749993</v>
      </c>
      <c r="K54" s="159">
        <f t="shared" si="5"/>
        <v>159898.66084406248</v>
      </c>
      <c r="L54" s="159"/>
      <c r="M54" s="161">
        <f>D54</f>
        <v>108159.63975</v>
      </c>
    </row>
    <row r="55" spans="1:13" s="177" customFormat="1" ht="15" customHeight="1">
      <c r="A55" s="157">
        <v>37</v>
      </c>
      <c r="B55" s="169" t="s">
        <v>439</v>
      </c>
      <c r="C55" s="423">
        <f>'АУП 2023'!E116</f>
        <v>0.5</v>
      </c>
      <c r="D55" s="159">
        <f>'АУП 2023'!M116</f>
        <v>36053.213250000001</v>
      </c>
      <c r="E55" s="159">
        <f>'АУП 2023'!Q116</f>
        <v>7210.6426500000007</v>
      </c>
      <c r="F55" s="159">
        <f>'АУП 2023'!AD116-'Свод '!D55-'Свод '!E55</f>
        <v>3605.3213249999981</v>
      </c>
      <c r="G55" s="240">
        <f t="shared" si="1"/>
        <v>46869.177224999999</v>
      </c>
      <c r="H55" s="160">
        <f t="shared" si="2"/>
        <v>2141.5608670499996</v>
      </c>
      <c r="I55" s="160">
        <f t="shared" si="3"/>
        <v>1249.2438391124999</v>
      </c>
      <c r="J55" s="160">
        <f t="shared" si="15"/>
        <v>1070.7804335249998</v>
      </c>
      <c r="K55" s="159">
        <f t="shared" si="5"/>
        <v>51330.7623646875</v>
      </c>
      <c r="L55" s="159"/>
      <c r="M55" s="161">
        <f>D55</f>
        <v>36053.213250000001</v>
      </c>
    </row>
    <row r="56" spans="1:13" s="177" customFormat="1" ht="15" customHeight="1">
      <c r="A56" s="157">
        <v>38</v>
      </c>
      <c r="B56" s="170" t="s">
        <v>293</v>
      </c>
      <c r="C56" s="423">
        <f>'АУП 2023'!E114+'АУП 2023'!E115</f>
        <v>2</v>
      </c>
      <c r="D56" s="159">
        <f>'АУП 2023'!M114+'АУП 2023'!M115</f>
        <v>144212.853</v>
      </c>
      <c r="E56" s="159">
        <f>'АУП 2023'!Q114+'АУП 2023'!Q115</f>
        <v>28842.570600000003</v>
      </c>
      <c r="F56" s="159">
        <f>'АУП 2023'!AD114+'АУП 2023'!AD115-'Свод '!D56-'Свод '!E56</f>
        <v>14421.285299999992</v>
      </c>
      <c r="G56" s="240">
        <f t="shared" si="1"/>
        <v>187476.7089</v>
      </c>
      <c r="H56" s="160">
        <f t="shared" si="2"/>
        <v>8566.2434681999985</v>
      </c>
      <c r="I56" s="160">
        <f t="shared" si="3"/>
        <v>4996.9753564499997</v>
      </c>
      <c r="J56" s="160">
        <f t="shared" si="15"/>
        <v>4283.1217340999992</v>
      </c>
      <c r="K56" s="159">
        <f t="shared" si="5"/>
        <v>205323.04945875</v>
      </c>
      <c r="L56" s="159"/>
      <c r="M56" s="161">
        <f>D56</f>
        <v>144212.853</v>
      </c>
    </row>
    <row r="57" spans="1:13" s="177" customFormat="1" ht="15" customHeight="1">
      <c r="A57" s="157">
        <v>39</v>
      </c>
      <c r="B57" s="169" t="s">
        <v>418</v>
      </c>
      <c r="C57" s="423">
        <f>'АУП 2023'!E90+'АУП 2023'!E91+'АУП 2023'!E92+'АУП 2023'!E93+'АУП 2023'!E94+'АУП 2023'!E95+'АУП 2023'!E96+'АУП 2023'!E97+'АУП 2023'!E98+'АУП 2023'!E99+'АУП 2023'!E100+'АУП 2023'!E101+'АУП 2023'!E102+'АУП 2023'!E103+'АУП 2023'!E104+'АУП 2023'!E105+'АУП 2023'!E106+'АУП 2023'!E107+'АУП 2023'!E108+'АУП 2023'!E109+'АУП 2023'!E110+'АУП 2023'!E111+'АУП 2023'!E112+'АУП 2023'!E113</f>
        <v>24</v>
      </c>
      <c r="D57" s="159">
        <f>'АУП 2023'!M90+'АУП 2023'!M91+'АУП 2023'!M92+'АУП 2023'!M93+'АУП 2023'!M94+'АУП 2023'!M95+'АУП 2023'!M96+'АУП 2023'!M97+'АУП 2023'!M98+'АУП 2023'!M99+'АУП 2023'!M100+'АУП 2023'!M101+'АУП 2023'!M102+'АУП 2023'!M103+'АУП 2023'!M104+'АУП 2023'!M105+'АУП 2023'!M106+'АУП 2023'!M107+'АУП 2023'!M108+'АУП 2023'!M109+'АУП 2023'!M110+'АУП 2023'!M111+'АУП 2023'!M112+'АУП 2023'!M113</f>
        <v>1730554.236000001</v>
      </c>
      <c r="E57" s="159">
        <f>'АУП 2023'!Q90+'АУП 2023'!Q91+'АУП 2023'!Q92+'АУП 2023'!Q93+'АУП 2023'!Q94+'АУП 2023'!Q95+'АУП 2023'!Q96+'АУП 2023'!Q97+'АУП 2023'!Q98+'АУП 2023'!Q99+'АУП 2023'!Q100+'АУП 2023'!Q101+'АУП 2023'!Q102+'АУП 2023'!Q103+'АУП 2023'!Q104+'АУП 2023'!Q105+'АУП 2023'!Q106+'АУП 2023'!Q107+'АУП 2023'!Q108+'АУП 2023'!Q109+'АУП 2023'!Q110+'АУП 2023'!Q111+'АУП 2023'!Q112+'АУП 2023'!Q113</f>
        <v>346110.84719999984</v>
      </c>
      <c r="F57" s="159">
        <f>'АУП 2023'!AD90+'АУП 2023'!AD91+'АУП 2023'!AD92+'АУП 2023'!AD93+'АУП 2023'!AD94+'АУП 2023'!AD95+'АУП 2023'!AD96+'АУП 2023'!AD97+'АУП 2023'!AD98+'АУП 2023'!AD99+'АУП 2023'!AD100+'АУП 2023'!AD101+'АУП 2023'!AD102+'АУП 2023'!AD103+'АУП 2023'!AD104+'АУП 2023'!AD105+'АУП 2023'!AD106+'АУП 2023'!AD107+'АУП 2023'!AD108+'АУП 2023'!AD109+'АУП 2023'!AD110+'АУП 2023'!AD111+'АУП 2023'!AD112+'АУП 2023'!AD113-'Свод '!D57-'Свод '!E57</f>
        <v>300473.82360000012</v>
      </c>
      <c r="G57" s="240">
        <f t="shared" si="1"/>
        <v>2377138.9068000009</v>
      </c>
      <c r="H57" s="160">
        <f t="shared" si="2"/>
        <v>109675.51521840006</v>
      </c>
      <c r="I57" s="160">
        <f t="shared" si="3"/>
        <v>63977.383877400047</v>
      </c>
      <c r="J57" s="160">
        <f t="shared" si="15"/>
        <v>54837.757609200031</v>
      </c>
      <c r="K57" s="159">
        <f t="shared" si="5"/>
        <v>2605629.5635050009</v>
      </c>
      <c r="L57" s="159"/>
      <c r="M57" s="161">
        <f>D57</f>
        <v>1730554.236000001</v>
      </c>
    </row>
    <row r="58" spans="1:13" s="177" customFormat="1" ht="15" customHeight="1">
      <c r="A58" s="157">
        <v>40</v>
      </c>
      <c r="B58" s="185" t="s">
        <v>330</v>
      </c>
      <c r="C58" s="423">
        <f>'АУП 2023'!E120+'АУП 2023'!E121+'АУП 2023'!E122+'АУП 2023'!E123+'АУП 2023'!E124+'АУП 2023'!E125</f>
        <v>6</v>
      </c>
      <c r="D58" s="159">
        <f>'АУП 2023'!M120+'АУП 2023'!M121+'АУП 2023'!M122+'АУП 2023'!M123+'АУП 2023'!M124+'АУП 2023'!M125</f>
        <v>432638.55900000001</v>
      </c>
      <c r="E58" s="159">
        <f>'АУП 2023'!Q120+'АУП 2023'!Q121+'АУП 2023'!Q122+'АУП 2023'!Q123+'АУП 2023'!Q124+'АУП 2023'!Q125</f>
        <v>86527.711800000005</v>
      </c>
      <c r="F58" s="159">
        <f>'АУП 2023'!AD120+'АУП 2023'!AD121+'АУП 2023'!AD122+'АУП 2023'!AD123+'АУП 2023'!AD124+'АУП 2023'!AD125-'Свод '!D58-'Свод '!E58</f>
        <v>200560.4559</v>
      </c>
      <c r="G58" s="240">
        <f>+D58+E58+F58</f>
        <v>719726.7267</v>
      </c>
      <c r="H58" s="160">
        <f>(G58-E58-(G58-E58)*10%)*6%</f>
        <v>34192.746804599999</v>
      </c>
      <c r="I58" s="160">
        <f>(G58-E58-(G58-E58)*10%)*3.5%</f>
        <v>19945.768969350003</v>
      </c>
      <c r="J58" s="160">
        <f>(G58-E58-(G58-E58)*10%)*3%</f>
        <v>17096.3734023</v>
      </c>
      <c r="K58" s="159">
        <f>+G58+H58+I58+J58</f>
        <v>790961.61587624997</v>
      </c>
      <c r="L58" s="159"/>
      <c r="M58" s="161">
        <f>D58</f>
        <v>432638.55900000001</v>
      </c>
    </row>
    <row r="59" spans="1:13" s="177" customFormat="1" ht="15" customHeight="1">
      <c r="A59" s="157">
        <v>41</v>
      </c>
      <c r="B59" s="170" t="s">
        <v>436</v>
      </c>
      <c r="C59" s="423">
        <f>'АУП 2023'!E137</f>
        <v>1</v>
      </c>
      <c r="D59" s="159">
        <f>'АУП 2023'!M137</f>
        <v>74159.2785</v>
      </c>
      <c r="E59" s="159">
        <f>'АУП 2023'!Q137</f>
        <v>14831.8557</v>
      </c>
      <c r="F59" s="159">
        <f>'АУП 2023'!AD137-'Свод '!D59-'Свод '!E59</f>
        <v>13609.927849999993</v>
      </c>
      <c r="G59" s="240">
        <f>+D59+E59+F59</f>
        <v>102601.06204999999</v>
      </c>
      <c r="H59" s="160">
        <f>(G59-E59-(G59-E59)*10%)*6%</f>
        <v>4739.5371428999997</v>
      </c>
      <c r="I59" s="160">
        <f>(G59-E59-(G59-E59)*10%)*3.5%</f>
        <v>2764.7300000249998</v>
      </c>
      <c r="J59" s="160">
        <f>(G59-E59-(G59-E59)*10%)*3%</f>
        <v>2369.7685714499999</v>
      </c>
      <c r="K59" s="159">
        <f>+G59+H59+I59+J59</f>
        <v>112475.09776437498</v>
      </c>
      <c r="L59" s="159"/>
      <c r="M59" s="161">
        <f>D59*2</f>
        <v>148318.557</v>
      </c>
    </row>
    <row r="60" spans="1:13" s="177" customFormat="1" ht="15" customHeight="1">
      <c r="A60" s="157">
        <v>42</v>
      </c>
      <c r="B60" s="170" t="s">
        <v>296</v>
      </c>
      <c r="C60" s="423">
        <f>'АУП 2023'!E84+'АУП 2023'!E85+'АУП 2023'!E86+'АУП 2023'!E87</f>
        <v>4</v>
      </c>
      <c r="D60" s="159">
        <f>'АУП 2023'!M84+'АУП 2023'!M85+'АУП 2023'!M86+'АУП 2023'!M87</f>
        <v>284320.00199999998</v>
      </c>
      <c r="E60" s="159">
        <f>'АУП 2023'!Q84+'АУП 2023'!Q85+'АУП 2023'!Q86+'АУП 2023'!Q87</f>
        <v>56864.000399999997</v>
      </c>
      <c r="F60" s="159">
        <f>'АУП 2023'!AD84+'АУП 2023'!AD85+'АУП 2023'!AD86+'АУП 2023'!AD87-'Свод '!D60-'Свод '!E60</f>
        <v>28432.000200000031</v>
      </c>
      <c r="G60" s="240">
        <f t="shared" si="1"/>
        <v>369616.00260000001</v>
      </c>
      <c r="H60" s="160">
        <f t="shared" si="2"/>
        <v>16888.608118799999</v>
      </c>
      <c r="I60" s="160">
        <f t="shared" si="3"/>
        <v>9851.6880693000003</v>
      </c>
      <c r="J60" s="160">
        <f t="shared" si="15"/>
        <v>8444.3040593999995</v>
      </c>
      <c r="K60" s="159">
        <f t="shared" si="5"/>
        <v>404800.60284750001</v>
      </c>
      <c r="L60" s="159"/>
      <c r="M60" s="161">
        <f>D60</f>
        <v>284320.00199999998</v>
      </c>
    </row>
    <row r="61" spans="1:13" s="177" customFormat="1" ht="14.25" customHeight="1">
      <c r="A61" s="163"/>
      <c r="B61" s="168" t="s">
        <v>419</v>
      </c>
      <c r="C61" s="166">
        <f t="shared" ref="C61:M61" si="16">SUM(C46:C60)</f>
        <v>52</v>
      </c>
      <c r="D61" s="164">
        <f t="shared" si="16"/>
        <v>3755051.2177500008</v>
      </c>
      <c r="E61" s="164">
        <f t="shared" si="16"/>
        <v>751010.2435499999</v>
      </c>
      <c r="F61" s="164">
        <f t="shared" si="16"/>
        <v>685880.82177500008</v>
      </c>
      <c r="G61" s="164">
        <f t="shared" si="16"/>
        <v>5191942.2830750011</v>
      </c>
      <c r="H61" s="164">
        <f t="shared" si="16"/>
        <v>239810.33013435008</v>
      </c>
      <c r="I61" s="164">
        <f t="shared" si="16"/>
        <v>139889.35924503754</v>
      </c>
      <c r="J61" s="164">
        <f t="shared" si="16"/>
        <v>119905.16506717504</v>
      </c>
      <c r="K61" s="164">
        <f t="shared" si="16"/>
        <v>5691547.1375215622</v>
      </c>
      <c r="L61" s="164">
        <f t="shared" si="16"/>
        <v>0</v>
      </c>
      <c r="M61" s="164">
        <f t="shared" si="16"/>
        <v>4702057.5060000019</v>
      </c>
    </row>
    <row r="62" spans="1:13" s="177" customFormat="1" ht="14.25" customHeight="1">
      <c r="A62" s="163"/>
      <c r="B62" s="168" t="s">
        <v>47</v>
      </c>
      <c r="C62" s="166">
        <f t="shared" ref="C62:M62" si="17">C20+C32+C40+C45+C61</f>
        <v>244.31</v>
      </c>
      <c r="D62" s="164">
        <f t="shared" si="17"/>
        <v>42900711.247875005</v>
      </c>
      <c r="E62" s="164">
        <f t="shared" si="17"/>
        <v>8580142.249575004</v>
      </c>
      <c r="F62" s="164">
        <f t="shared" si="17"/>
        <v>25347121.20439687</v>
      </c>
      <c r="G62" s="164">
        <f t="shared" si="17"/>
        <v>76827974.701846883</v>
      </c>
      <c r="H62" s="164">
        <f t="shared" si="17"/>
        <v>3685382.9524226808</v>
      </c>
      <c r="I62" s="164">
        <f t="shared" si="17"/>
        <v>2149806.7222465645</v>
      </c>
      <c r="J62" s="164">
        <f t="shared" si="17"/>
        <v>1842691.4762113404</v>
      </c>
      <c r="K62" s="164">
        <f t="shared" si="17"/>
        <v>84505855.852727488</v>
      </c>
      <c r="L62" s="164">
        <f t="shared" si="17"/>
        <v>0</v>
      </c>
      <c r="M62" s="164">
        <f t="shared" si="17"/>
        <v>75297347.35177502</v>
      </c>
    </row>
    <row r="63" spans="1:13" ht="12.75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</row>
    <row r="64" spans="1:13" ht="31.5">
      <c r="A64" s="148"/>
      <c r="B64" s="189" t="s">
        <v>343</v>
      </c>
      <c r="C64" s="171"/>
      <c r="D64" s="172"/>
      <c r="E64" s="171" t="s">
        <v>420</v>
      </c>
      <c r="F64" s="190"/>
      <c r="G64" s="173"/>
      <c r="H64" s="173"/>
      <c r="I64" s="173"/>
      <c r="J64" s="147"/>
      <c r="K64" s="148"/>
      <c r="L64" s="148"/>
      <c r="M64" s="148"/>
    </row>
    <row r="65" spans="1:13" ht="12.75" customHeight="1">
      <c r="A65" s="148"/>
      <c r="B65" s="189"/>
      <c r="C65" s="171"/>
      <c r="D65" s="172"/>
      <c r="E65" s="171"/>
      <c r="F65" s="190"/>
      <c r="G65" s="173"/>
      <c r="H65" s="173"/>
      <c r="I65" s="173"/>
      <c r="J65" s="147"/>
      <c r="K65" s="148"/>
      <c r="L65" s="148"/>
      <c r="M65" s="148"/>
    </row>
    <row r="66" spans="1:13" ht="15.75" customHeight="1">
      <c r="A66" s="148"/>
      <c r="B66" s="174" t="s">
        <v>410</v>
      </c>
      <c r="C66" s="191"/>
      <c r="D66" s="534" t="s">
        <v>421</v>
      </c>
      <c r="E66" s="534"/>
      <c r="F66" s="534"/>
      <c r="G66" s="175"/>
      <c r="H66" s="176"/>
      <c r="I66" s="175"/>
      <c r="J66" s="148"/>
      <c r="K66" s="175"/>
      <c r="L66" s="148"/>
      <c r="M66" s="148"/>
    </row>
  </sheetData>
  <mergeCells count="7">
    <mergeCell ref="I2:L2"/>
    <mergeCell ref="D66:F66"/>
    <mergeCell ref="A8:C8"/>
    <mergeCell ref="A9:C9"/>
    <mergeCell ref="A11:M11"/>
    <mergeCell ref="A12:AB12"/>
    <mergeCell ref="A13:M13"/>
  </mergeCells>
  <pageMargins left="0.35433070866141736" right="0.19685039370078741" top="0.19685039370078741" bottom="0.23622047244094491" header="0.19685039370078741" footer="0.23622047244094491"/>
  <pageSetup paperSize="9" scale="60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0"/>
  <sheetViews>
    <sheetView view="pageBreakPreview" topLeftCell="A5" zoomScale="90" zoomScaleNormal="76" zoomScaleSheetLayoutView="90" workbookViewId="0">
      <selection sqref="A1:H28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5.85546875" style="87" customWidth="1"/>
    <col min="6" max="6" width="7.5703125" style="12" customWidth="1"/>
    <col min="7" max="7" width="6.42578125" style="12" customWidth="1"/>
    <col min="8" max="8" width="10" style="258" customWidth="1"/>
    <col min="9" max="16384" width="9.140625" style="82"/>
  </cols>
  <sheetData>
    <row r="1" spans="1:8" s="7" customFormat="1" ht="17.25" customHeight="1">
      <c r="A1" s="6"/>
      <c r="E1" s="6"/>
      <c r="F1" s="6"/>
      <c r="G1" s="6"/>
      <c r="H1" s="257"/>
    </row>
    <row r="2" spans="1:8" s="9" customFormat="1" ht="35.25" customHeight="1">
      <c r="A2" s="583" t="s">
        <v>789</v>
      </c>
      <c r="B2" s="584"/>
      <c r="C2" s="584"/>
      <c r="D2" s="584"/>
      <c r="E2" s="584"/>
      <c r="F2" s="584"/>
      <c r="G2" s="584"/>
      <c r="H2" s="584"/>
    </row>
    <row r="3" spans="1:8" s="7" customFormat="1" ht="14.25" customHeight="1">
      <c r="A3" s="42"/>
      <c r="B3" s="43"/>
      <c r="C3" s="43"/>
      <c r="D3" s="42"/>
      <c r="E3" s="46"/>
      <c r="F3" s="46"/>
      <c r="G3" s="46"/>
      <c r="H3" s="382"/>
    </row>
    <row r="4" spans="1:8" s="49" customFormat="1" ht="18.75" customHeight="1">
      <c r="A4" s="582" t="s">
        <v>10</v>
      </c>
      <c r="B4" s="582" t="s">
        <v>11</v>
      </c>
      <c r="C4" s="582" t="s">
        <v>12</v>
      </c>
      <c r="D4" s="580" t="s">
        <v>13</v>
      </c>
      <c r="E4" s="599" t="s">
        <v>20</v>
      </c>
      <c r="F4" s="600"/>
      <c r="G4" s="600"/>
      <c r="H4" s="559" t="s">
        <v>46</v>
      </c>
    </row>
    <row r="5" spans="1:8" s="49" customFormat="1" ht="21.75" customHeight="1">
      <c r="A5" s="582"/>
      <c r="B5" s="582"/>
      <c r="C5" s="582"/>
      <c r="D5" s="580"/>
      <c r="E5" s="601"/>
      <c r="F5" s="602"/>
      <c r="G5" s="602"/>
      <c r="H5" s="606"/>
    </row>
    <row r="6" spans="1:8" s="49" customFormat="1" ht="69" customHeight="1">
      <c r="A6" s="582"/>
      <c r="B6" s="582"/>
      <c r="C6" s="582"/>
      <c r="D6" s="580"/>
      <c r="E6" s="380" t="s">
        <v>40</v>
      </c>
      <c r="F6" s="380" t="s">
        <v>42</v>
      </c>
      <c r="G6" s="380" t="s">
        <v>43</v>
      </c>
      <c r="H6" s="560"/>
    </row>
    <row r="7" spans="1:8" s="7" customFormat="1" ht="12.75">
      <c r="A7" s="399">
        <v>1</v>
      </c>
      <c r="B7" s="400">
        <v>2</v>
      </c>
      <c r="C7" s="400">
        <v>3</v>
      </c>
      <c r="D7" s="399">
        <v>4</v>
      </c>
      <c r="E7" s="400">
        <v>5</v>
      </c>
      <c r="F7" s="400">
        <v>6</v>
      </c>
      <c r="G7" s="399">
        <v>7</v>
      </c>
      <c r="H7" s="400">
        <v>8</v>
      </c>
    </row>
    <row r="8" spans="1:8" s="204" customFormat="1" ht="15" customHeight="1">
      <c r="A8" s="51">
        <v>1</v>
      </c>
      <c r="B8" s="62" t="s">
        <v>106</v>
      </c>
      <c r="C8" s="63" t="s">
        <v>60</v>
      </c>
      <c r="D8" s="64" t="s">
        <v>50</v>
      </c>
      <c r="E8" s="51">
        <v>2</v>
      </c>
      <c r="F8" s="396">
        <v>9</v>
      </c>
      <c r="G8" s="396">
        <v>8</v>
      </c>
      <c r="H8" s="206">
        <v>2</v>
      </c>
    </row>
    <row r="9" spans="1:8" s="204" customFormat="1" ht="15" customHeight="1">
      <c r="A9" s="51">
        <v>2</v>
      </c>
      <c r="B9" s="62" t="s">
        <v>112</v>
      </c>
      <c r="C9" s="63" t="s">
        <v>55</v>
      </c>
      <c r="D9" s="64" t="s">
        <v>50</v>
      </c>
      <c r="E9" s="210"/>
      <c r="F9" s="210">
        <v>12</v>
      </c>
      <c r="G9" s="210">
        <v>10</v>
      </c>
      <c r="H9" s="210">
        <v>2</v>
      </c>
    </row>
    <row r="10" spans="1:8" s="215" customFormat="1" ht="15" customHeight="1">
      <c r="A10" s="51">
        <v>3</v>
      </c>
      <c r="B10" s="77" t="s">
        <v>128</v>
      </c>
      <c r="C10" s="219" t="s">
        <v>82</v>
      </c>
      <c r="D10" s="64" t="s">
        <v>50</v>
      </c>
      <c r="E10" s="210"/>
      <c r="F10" s="210">
        <v>9</v>
      </c>
      <c r="G10" s="210">
        <v>3</v>
      </c>
      <c r="H10" s="210">
        <v>1</v>
      </c>
    </row>
    <row r="11" spans="1:8" s="215" customFormat="1" ht="15" customHeight="1">
      <c r="A11" s="51">
        <v>4</v>
      </c>
      <c r="B11" s="263" t="s">
        <v>173</v>
      </c>
      <c r="C11" s="219" t="s">
        <v>563</v>
      </c>
      <c r="D11" s="64" t="s">
        <v>50</v>
      </c>
      <c r="E11" s="210"/>
      <c r="F11" s="210">
        <v>12</v>
      </c>
      <c r="G11" s="210">
        <v>4</v>
      </c>
      <c r="H11" s="210">
        <v>2</v>
      </c>
    </row>
    <row r="12" spans="1:8" s="215" customFormat="1" ht="15" customHeight="1">
      <c r="A12" s="51">
        <v>5</v>
      </c>
      <c r="B12" s="216" t="s">
        <v>458</v>
      </c>
      <c r="C12" s="217" t="s">
        <v>94</v>
      </c>
      <c r="D12" s="64" t="s">
        <v>50</v>
      </c>
      <c r="E12" s="210"/>
      <c r="F12" s="210">
        <v>14</v>
      </c>
      <c r="G12" s="210">
        <v>2</v>
      </c>
      <c r="H12" s="210">
        <v>2</v>
      </c>
    </row>
    <row r="13" spans="1:8" s="215" customFormat="1" ht="15" customHeight="1">
      <c r="A13" s="51">
        <v>6</v>
      </c>
      <c r="B13" s="78" t="s">
        <v>155</v>
      </c>
      <c r="C13" s="219" t="s">
        <v>156</v>
      </c>
      <c r="D13" s="64" t="s">
        <v>50</v>
      </c>
      <c r="E13" s="210">
        <v>6</v>
      </c>
      <c r="F13" s="210">
        <v>5</v>
      </c>
      <c r="G13" s="210">
        <v>4</v>
      </c>
      <c r="H13" s="210">
        <v>15</v>
      </c>
    </row>
    <row r="14" spans="1:8" s="204" customFormat="1" ht="15" customHeight="1">
      <c r="A14" s="51">
        <v>7</v>
      </c>
      <c r="B14" s="62" t="s">
        <v>147</v>
      </c>
      <c r="C14" s="63" t="s">
        <v>87</v>
      </c>
      <c r="D14" s="64" t="s">
        <v>50</v>
      </c>
      <c r="E14" s="210"/>
      <c r="F14" s="210">
        <v>13</v>
      </c>
      <c r="G14" s="210">
        <v>6</v>
      </c>
      <c r="H14" s="210">
        <v>2</v>
      </c>
    </row>
    <row r="15" spans="1:8" s="215" customFormat="1" ht="15" customHeight="1">
      <c r="A15" s="51">
        <v>8</v>
      </c>
      <c r="B15" s="78" t="s">
        <v>148</v>
      </c>
      <c r="C15" s="219" t="s">
        <v>65</v>
      </c>
      <c r="D15" s="64" t="s">
        <v>50</v>
      </c>
      <c r="E15" s="210"/>
      <c r="F15" s="210">
        <v>15</v>
      </c>
      <c r="G15" s="210">
        <v>1</v>
      </c>
      <c r="H15" s="210">
        <v>16</v>
      </c>
    </row>
    <row r="16" spans="1:8" s="215" customFormat="1" ht="15" customHeight="1">
      <c r="A16" s="51">
        <v>9</v>
      </c>
      <c r="B16" s="216" t="s">
        <v>149</v>
      </c>
      <c r="C16" s="217" t="s">
        <v>67</v>
      </c>
      <c r="D16" s="64" t="s">
        <v>50</v>
      </c>
      <c r="E16" s="210"/>
      <c r="F16" s="210">
        <v>12</v>
      </c>
      <c r="G16" s="210">
        <v>4</v>
      </c>
      <c r="H16" s="210">
        <v>16</v>
      </c>
    </row>
    <row r="17" spans="1:8" s="215" customFormat="1" ht="15" customHeight="1">
      <c r="A17" s="51">
        <v>10</v>
      </c>
      <c r="B17" s="79" t="s">
        <v>172</v>
      </c>
      <c r="C17" s="63" t="s">
        <v>85</v>
      </c>
      <c r="D17" s="64" t="s">
        <v>50</v>
      </c>
      <c r="E17" s="210">
        <v>5</v>
      </c>
      <c r="F17" s="210">
        <v>6</v>
      </c>
      <c r="G17" s="210"/>
      <c r="H17" s="210">
        <v>3</v>
      </c>
    </row>
    <row r="18" spans="1:8" s="215" customFormat="1" ht="15" customHeight="1">
      <c r="A18" s="51">
        <v>11</v>
      </c>
      <c r="B18" s="245" t="s">
        <v>560</v>
      </c>
      <c r="C18" s="217" t="s">
        <v>53</v>
      </c>
      <c r="D18" s="64" t="s">
        <v>50</v>
      </c>
      <c r="E18" s="210">
        <v>16</v>
      </c>
      <c r="F18" s="210"/>
      <c r="G18" s="210"/>
      <c r="H18" s="210">
        <v>15</v>
      </c>
    </row>
    <row r="19" spans="1:8" s="215" customFormat="1" ht="15" customHeight="1">
      <c r="A19" s="51">
        <v>12</v>
      </c>
      <c r="B19" s="143" t="s">
        <v>210</v>
      </c>
      <c r="C19" s="80" t="s">
        <v>158</v>
      </c>
      <c r="D19" s="64" t="s">
        <v>50</v>
      </c>
      <c r="E19" s="210"/>
      <c r="F19" s="210">
        <v>2</v>
      </c>
      <c r="G19" s="210"/>
      <c r="H19" s="210">
        <v>2</v>
      </c>
    </row>
    <row r="20" spans="1:8" s="215" customFormat="1" ht="15" customHeight="1">
      <c r="A20" s="51">
        <v>13</v>
      </c>
      <c r="B20" s="63" t="s">
        <v>568</v>
      </c>
      <c r="C20" s="80" t="s">
        <v>158</v>
      </c>
      <c r="D20" s="64" t="s">
        <v>50</v>
      </c>
      <c r="E20" s="210"/>
      <c r="F20" s="210">
        <v>4</v>
      </c>
      <c r="G20" s="210"/>
      <c r="H20" s="210">
        <v>4</v>
      </c>
    </row>
    <row r="21" spans="1:8" s="215" customFormat="1" ht="15" customHeight="1">
      <c r="A21" s="51">
        <v>14</v>
      </c>
      <c r="B21" s="216" t="s">
        <v>465</v>
      </c>
      <c r="C21" s="217" t="s">
        <v>57</v>
      </c>
      <c r="D21" s="64" t="s">
        <v>50</v>
      </c>
      <c r="E21" s="210"/>
      <c r="F21" s="210">
        <v>16</v>
      </c>
      <c r="G21" s="210"/>
      <c r="H21" s="210">
        <v>1</v>
      </c>
    </row>
    <row r="22" spans="1:8" s="215" customFormat="1" ht="15" customHeight="1">
      <c r="A22" s="51">
        <v>15</v>
      </c>
      <c r="B22" s="216" t="s">
        <v>465</v>
      </c>
      <c r="C22" s="217"/>
      <c r="D22" s="64" t="s">
        <v>50</v>
      </c>
      <c r="E22" s="210"/>
      <c r="F22" s="210">
        <v>10</v>
      </c>
      <c r="G22" s="210"/>
      <c r="H22" s="210">
        <v>10</v>
      </c>
    </row>
    <row r="23" spans="1:8" s="238" customFormat="1" ht="15" customHeight="1">
      <c r="A23" s="401"/>
      <c r="B23" s="402"/>
      <c r="C23" s="402"/>
      <c r="D23" s="402"/>
      <c r="E23" s="403">
        <f>SUM(E8:E22)</f>
        <v>29</v>
      </c>
      <c r="F23" s="404">
        <f>SUM(F8:F22)</f>
        <v>139</v>
      </c>
      <c r="G23" s="404">
        <f>SUM(G8:G22)</f>
        <v>42</v>
      </c>
      <c r="H23" s="404">
        <f>SUM(H8:H22)</f>
        <v>93</v>
      </c>
    </row>
    <row r="24" spans="1:8" ht="12.75">
      <c r="A24" s="82"/>
      <c r="F24" s="82"/>
      <c r="G24" s="82"/>
      <c r="H24" s="82"/>
    </row>
    <row r="25" spans="1:8" ht="12.75">
      <c r="A25" s="82"/>
      <c r="F25" s="82"/>
      <c r="G25" s="82"/>
      <c r="H25" s="82"/>
    </row>
    <row r="26" spans="1:8" ht="12.75">
      <c r="A26" s="82"/>
      <c r="F26" s="82"/>
      <c r="G26" s="82"/>
      <c r="H26" s="82"/>
    </row>
    <row r="27" spans="1:8" customFormat="1">
      <c r="B27" s="285" t="s">
        <v>810</v>
      </c>
      <c r="C27" s="276"/>
      <c r="D27" s="276"/>
    </row>
    <row r="28" spans="1:8" ht="22.5" customHeight="1">
      <c r="A28" s="82"/>
      <c r="B28" s="575"/>
      <c r="C28" s="575"/>
      <c r="D28" s="575"/>
      <c r="E28" s="379"/>
      <c r="F28" s="82"/>
      <c r="G28" s="82"/>
      <c r="H28" s="82"/>
    </row>
    <row r="29" spans="1:8">
      <c r="A29" s="82"/>
      <c r="B29" s="187"/>
      <c r="C29" s="43"/>
      <c r="E29" s="2"/>
      <c r="F29" s="82"/>
      <c r="G29" s="82"/>
      <c r="H29" s="82"/>
    </row>
    <row r="30" spans="1:8" ht="25.5" customHeight="1">
      <c r="A30" s="82"/>
      <c r="B30" s="576"/>
      <c r="C30" s="576"/>
      <c r="D30" s="576"/>
      <c r="E30" s="381"/>
      <c r="F30" s="82"/>
      <c r="G30" s="82"/>
      <c r="H30" s="82"/>
    </row>
  </sheetData>
  <mergeCells count="9">
    <mergeCell ref="B28:D28"/>
    <mergeCell ref="B30:D30"/>
    <mergeCell ref="H4:H6"/>
    <mergeCell ref="A2:H2"/>
    <mergeCell ref="A4:A6"/>
    <mergeCell ref="B4:B6"/>
    <mergeCell ref="C4:C6"/>
    <mergeCell ref="D4:D6"/>
    <mergeCell ref="E4:G5"/>
  </mergeCells>
  <pageMargins left="0.59055118110236227" right="0.59055118110236227" top="0.59055118110236227" bottom="0.59055118110236227" header="0" footer="0"/>
  <pageSetup paperSize="9" fitToHeight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R22"/>
  <sheetViews>
    <sheetView view="pageBreakPreview" topLeftCell="A6" zoomScale="90" zoomScaleNormal="76" zoomScaleSheetLayoutView="90" workbookViewId="0">
      <selection sqref="A1:AS21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8" style="82" customWidth="1"/>
    <col min="6" max="6" width="8.7109375" style="145" customWidth="1"/>
    <col min="7" max="7" width="6.7109375" style="198" customWidth="1"/>
    <col min="8" max="8" width="7.28515625" style="91" customWidth="1"/>
    <col min="9" max="9" width="6.85546875" style="85" customWidth="1"/>
    <col min="10" max="10" width="9.5703125" style="86" customWidth="1"/>
    <col min="11" max="11" width="7.85546875" style="87" customWidth="1"/>
    <col min="12" max="12" width="7.85546875" style="87" hidden="1" customWidth="1"/>
    <col min="13" max="13" width="5.85546875" style="87" customWidth="1"/>
    <col min="14" max="14" width="9.7109375" style="86" customWidth="1"/>
    <col min="15" max="15" width="7.5703125" style="12" customWidth="1"/>
    <col min="16" max="16" width="10" style="86" customWidth="1"/>
    <col min="17" max="17" width="6.42578125" style="12" customWidth="1"/>
    <col min="18" max="18" width="10.5703125" style="86" customWidth="1"/>
    <col min="19" max="19" width="9.5703125" style="87" customWidth="1"/>
    <col min="20" max="20" width="9.42578125" style="86" customWidth="1"/>
    <col min="21" max="21" width="9.140625" style="88" customWidth="1"/>
    <col min="22" max="22" width="9.5703125" style="88" customWidth="1"/>
    <col min="23" max="23" width="6.140625" style="87" customWidth="1"/>
    <col min="24" max="24" width="7.5703125" style="86" customWidth="1"/>
    <col min="25" max="25" width="6.7109375" style="89" customWidth="1"/>
    <col min="26" max="26" width="8.28515625" style="86" customWidth="1"/>
    <col min="27" max="27" width="6" style="87" customWidth="1"/>
    <col min="28" max="28" width="8.28515625" style="86" customWidth="1"/>
    <col min="29" max="29" width="6.140625" style="89" customWidth="1"/>
    <col min="30" max="30" width="8.140625" style="86" customWidth="1"/>
    <col min="31" max="31" width="7.85546875" style="86" customWidth="1"/>
    <col min="32" max="32" width="6.85546875" style="86" customWidth="1"/>
    <col min="33" max="33" width="9.28515625" style="87" customWidth="1"/>
    <col min="34" max="34" width="6" style="90" customWidth="1"/>
    <col min="35" max="35" width="8" style="87" customWidth="1"/>
    <col min="36" max="36" width="6.140625" style="258" customWidth="1"/>
    <col min="37" max="37" width="8" style="87" customWidth="1"/>
    <col min="38" max="38" width="7.85546875" style="87" customWidth="1"/>
    <col min="39" max="39" width="9.140625" style="87" customWidth="1"/>
    <col min="40" max="40" width="8.42578125" style="87" customWidth="1"/>
    <col min="41" max="41" width="9" style="87" customWidth="1"/>
    <col min="42" max="42" width="8.140625" style="87" customWidth="1"/>
    <col min="43" max="43" width="10.140625" style="86" customWidth="1"/>
    <col min="44" max="44" width="9" style="86" customWidth="1"/>
    <col min="45" max="16384" width="9.140625" style="82"/>
  </cols>
  <sheetData>
    <row r="2" spans="1:44" s="7" customFormat="1">
      <c r="A2" s="6"/>
      <c r="B2" s="2"/>
      <c r="C2" s="1"/>
      <c r="D2" s="1"/>
      <c r="E2" s="3"/>
      <c r="F2" s="483"/>
      <c r="G2" s="193"/>
      <c r="H2" s="4"/>
      <c r="I2" s="5"/>
      <c r="J2" s="6"/>
      <c r="P2" s="485" t="s">
        <v>0</v>
      </c>
      <c r="Q2" s="485"/>
      <c r="R2" s="485"/>
      <c r="U2" s="8"/>
      <c r="Z2" s="6"/>
      <c r="AA2" s="478"/>
      <c r="AB2" s="478"/>
      <c r="AC2" s="593"/>
      <c r="AD2" s="593"/>
      <c r="AE2" s="593"/>
      <c r="AH2" s="8"/>
      <c r="AI2" s="8"/>
      <c r="AJ2" s="254"/>
      <c r="AK2" s="6"/>
      <c r="AL2" s="6"/>
      <c r="AM2" s="6"/>
      <c r="AN2" s="6"/>
      <c r="AO2" s="8"/>
      <c r="AP2" s="9"/>
      <c r="AQ2" s="8"/>
      <c r="AR2" s="9"/>
    </row>
    <row r="3" spans="1:44" s="7" customFormat="1">
      <c r="A3" s="6"/>
      <c r="B3" s="2"/>
      <c r="C3" s="1"/>
      <c r="D3" s="1"/>
      <c r="E3" s="3"/>
      <c r="F3" s="483"/>
      <c r="G3" s="193"/>
      <c r="H3" s="4"/>
      <c r="I3" s="5"/>
      <c r="J3" s="6"/>
      <c r="P3" s="484" t="s">
        <v>790</v>
      </c>
      <c r="Q3" s="484"/>
      <c r="R3" s="484"/>
      <c r="S3" s="484"/>
      <c r="T3" s="484"/>
      <c r="U3" s="484"/>
      <c r="Z3" s="6"/>
      <c r="AA3" s="1"/>
      <c r="AB3" s="1"/>
      <c r="AC3" s="584"/>
      <c r="AD3" s="584"/>
      <c r="AE3" s="584"/>
      <c r="AF3" s="584"/>
      <c r="AG3" s="584"/>
      <c r="AH3" s="584"/>
      <c r="AI3" s="584"/>
      <c r="AJ3" s="254"/>
      <c r="AK3" s="6"/>
      <c r="AL3" s="6"/>
      <c r="AM3" s="6"/>
      <c r="AN3" s="6"/>
      <c r="AO3" s="8"/>
      <c r="AP3" s="9"/>
      <c r="AQ3" s="8"/>
      <c r="AR3" s="9"/>
    </row>
    <row r="4" spans="1:44" s="7" customFormat="1">
      <c r="A4" s="6"/>
      <c r="B4" s="2"/>
      <c r="C4" s="1"/>
      <c r="D4" s="1"/>
      <c r="E4" s="3"/>
      <c r="F4" s="483"/>
      <c r="G4" s="193"/>
      <c r="H4" s="4"/>
      <c r="I4" s="5"/>
      <c r="J4" s="6"/>
      <c r="P4" s="485" t="s">
        <v>791</v>
      </c>
      <c r="Q4" s="11"/>
      <c r="R4" s="11"/>
      <c r="S4" s="11"/>
      <c r="U4" s="6"/>
      <c r="Z4" s="9"/>
      <c r="AA4" s="485"/>
      <c r="AB4" s="11"/>
      <c r="AC4" s="485"/>
      <c r="AD4" s="11"/>
      <c r="AE4" s="11"/>
      <c r="AF4" s="11"/>
      <c r="AH4" s="6"/>
      <c r="AJ4" s="254"/>
      <c r="AK4" s="6"/>
      <c r="AL4" s="6"/>
      <c r="AM4" s="6"/>
      <c r="AN4" s="6"/>
      <c r="AO4" s="12"/>
      <c r="AP4" s="9"/>
      <c r="AQ4" s="12"/>
      <c r="AR4" s="9"/>
    </row>
    <row r="5" spans="1:44" s="7" customFormat="1" ht="17.25" customHeight="1">
      <c r="A5" s="6"/>
      <c r="B5" s="2"/>
      <c r="C5" s="1"/>
      <c r="D5" s="1"/>
      <c r="E5" s="3"/>
      <c r="F5" s="483"/>
      <c r="G5" s="193"/>
      <c r="H5" s="4"/>
      <c r="I5" s="5"/>
      <c r="J5" s="6"/>
      <c r="P5" s="420" t="s">
        <v>797</v>
      </c>
      <c r="Q5" s="479"/>
      <c r="R5" s="479"/>
      <c r="S5" s="479"/>
      <c r="T5" s="479"/>
      <c r="U5" s="14"/>
      <c r="Z5" s="13" t="s">
        <v>1</v>
      </c>
      <c r="AA5" s="478"/>
      <c r="AB5" s="478"/>
      <c r="AC5" s="577"/>
      <c r="AD5" s="578"/>
      <c r="AE5" s="578"/>
      <c r="AF5" s="578"/>
      <c r="AG5" s="578"/>
      <c r="AH5" s="14"/>
      <c r="AJ5" s="254"/>
      <c r="AK5" s="6"/>
      <c r="AL5" s="6"/>
      <c r="AM5" s="6"/>
      <c r="AN5" s="6"/>
      <c r="AO5" s="12"/>
      <c r="AP5" s="9"/>
      <c r="AQ5" s="12"/>
      <c r="AR5" s="9"/>
    </row>
    <row r="6" spans="1:44" s="7" customFormat="1">
      <c r="A6" s="6"/>
      <c r="B6" s="2"/>
      <c r="C6" s="1"/>
      <c r="D6" s="1"/>
      <c r="E6" s="3"/>
      <c r="F6" s="483"/>
      <c r="G6" s="193"/>
      <c r="H6" s="4"/>
      <c r="I6" s="5"/>
      <c r="J6" s="6"/>
      <c r="P6" s="420"/>
      <c r="Q6" s="2"/>
      <c r="R6" s="2"/>
      <c r="S6" s="2"/>
      <c r="T6" s="15"/>
      <c r="U6" s="15"/>
      <c r="Z6" s="9"/>
      <c r="AA6" s="478"/>
      <c r="AB6" s="2"/>
      <c r="AC6" s="478"/>
      <c r="AD6" s="2"/>
      <c r="AE6" s="2"/>
      <c r="AF6" s="2"/>
      <c r="AG6" s="15"/>
      <c r="AH6" s="15"/>
      <c r="AJ6" s="254"/>
      <c r="AK6" s="6"/>
      <c r="AL6" s="6"/>
      <c r="AM6" s="6"/>
      <c r="AN6" s="6"/>
      <c r="AO6" s="12"/>
      <c r="AP6" s="9"/>
      <c r="AQ6" s="12"/>
      <c r="AR6" s="9"/>
    </row>
    <row r="7" spans="1:44" s="7" customFormat="1" ht="17.25" customHeight="1">
      <c r="A7" s="6"/>
      <c r="F7" s="141"/>
      <c r="G7" s="196"/>
      <c r="H7" s="3"/>
      <c r="I7" s="6"/>
      <c r="J7" s="6"/>
      <c r="K7" s="9"/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8"/>
      <c r="AI7" s="8"/>
      <c r="AJ7" s="257"/>
      <c r="AK7" s="8"/>
      <c r="AL7" s="8"/>
      <c r="AM7" s="8"/>
      <c r="AN7" s="8"/>
      <c r="AO7" s="8"/>
      <c r="AP7" s="8"/>
      <c r="AQ7" s="35"/>
      <c r="AR7" s="32"/>
    </row>
    <row r="8" spans="1:44" s="9" customFormat="1" ht="35.25" customHeight="1">
      <c r="A8" s="583" t="s">
        <v>851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584"/>
      <c r="AN8" s="584"/>
      <c r="AO8" s="584"/>
      <c r="AP8" s="584"/>
      <c r="AQ8" s="584"/>
      <c r="AR8" s="584"/>
    </row>
    <row r="9" spans="1:44" s="7" customFormat="1" ht="14.25" customHeight="1">
      <c r="A9" s="42"/>
      <c r="B9" s="43"/>
      <c r="C9" s="43"/>
      <c r="D9" s="42"/>
      <c r="E9" s="42"/>
      <c r="F9" s="142"/>
      <c r="G9" s="197"/>
      <c r="H9" s="44"/>
      <c r="I9" s="42"/>
      <c r="J9" s="45"/>
      <c r="K9" s="46"/>
      <c r="L9" s="46"/>
      <c r="M9" s="46"/>
      <c r="N9" s="45"/>
      <c r="O9" s="46"/>
      <c r="P9" s="47"/>
      <c r="Q9" s="46"/>
      <c r="R9" s="47"/>
      <c r="S9" s="46"/>
      <c r="T9" s="45"/>
      <c r="U9" s="46"/>
      <c r="V9" s="46"/>
      <c r="W9" s="46"/>
      <c r="X9" s="45"/>
      <c r="Y9" s="48"/>
      <c r="Z9" s="45"/>
      <c r="AA9" s="46"/>
      <c r="AB9" s="45"/>
      <c r="AC9" s="48"/>
      <c r="AD9" s="45"/>
      <c r="AE9" s="45"/>
      <c r="AF9" s="45"/>
      <c r="AG9" s="46"/>
      <c r="AH9" s="46"/>
      <c r="AI9" s="46"/>
      <c r="AJ9" s="585"/>
      <c r="AK9" s="585"/>
      <c r="AL9" s="585"/>
      <c r="AM9" s="585"/>
      <c r="AN9" s="585"/>
      <c r="AO9" s="585"/>
      <c r="AP9" s="585"/>
      <c r="AQ9" s="585"/>
      <c r="AR9" s="32"/>
    </row>
    <row r="10" spans="1:44" s="49" customFormat="1" ht="18.75" customHeight="1">
      <c r="A10" s="582" t="s">
        <v>10</v>
      </c>
      <c r="B10" s="582" t="s">
        <v>11</v>
      </c>
      <c r="C10" s="582" t="s">
        <v>12</v>
      </c>
      <c r="D10" s="580" t="s">
        <v>13</v>
      </c>
      <c r="E10" s="580" t="s">
        <v>14</v>
      </c>
      <c r="F10" s="589" t="s">
        <v>182</v>
      </c>
      <c r="G10" s="580" t="s">
        <v>15</v>
      </c>
      <c r="H10" s="547" t="s">
        <v>16</v>
      </c>
      <c r="I10" s="580" t="s">
        <v>17</v>
      </c>
      <c r="J10" s="547" t="s">
        <v>18</v>
      </c>
      <c r="K10" s="580" t="s">
        <v>19</v>
      </c>
      <c r="L10" s="481"/>
      <c r="M10" s="594" t="s">
        <v>20</v>
      </c>
      <c r="N10" s="594"/>
      <c r="O10" s="594"/>
      <c r="P10" s="594"/>
      <c r="Q10" s="594"/>
      <c r="R10" s="594"/>
      <c r="S10" s="588" t="s">
        <v>21</v>
      </c>
      <c r="T10" s="586" t="s">
        <v>22</v>
      </c>
      <c r="U10" s="581">
        <v>0.1</v>
      </c>
      <c r="V10" s="581">
        <v>0.2</v>
      </c>
      <c r="W10" s="582" t="s">
        <v>23</v>
      </c>
      <c r="X10" s="582"/>
      <c r="Y10" s="582"/>
      <c r="Z10" s="582"/>
      <c r="AA10" s="580" t="s">
        <v>24</v>
      </c>
      <c r="AB10" s="580"/>
      <c r="AC10" s="580"/>
      <c r="AD10" s="580"/>
      <c r="AE10" s="586" t="s">
        <v>25</v>
      </c>
      <c r="AF10" s="586" t="s">
        <v>26</v>
      </c>
      <c r="AG10" s="587" t="s">
        <v>27</v>
      </c>
      <c r="AH10" s="580" t="s">
        <v>28</v>
      </c>
      <c r="AI10" s="580"/>
      <c r="AJ10" s="580" t="s">
        <v>29</v>
      </c>
      <c r="AK10" s="580"/>
      <c r="AL10" s="579" t="s">
        <v>30</v>
      </c>
      <c r="AM10" s="579" t="s">
        <v>31</v>
      </c>
      <c r="AN10" s="579"/>
      <c r="AO10" s="579"/>
      <c r="AP10" s="579"/>
      <c r="AQ10" s="547" t="s">
        <v>32</v>
      </c>
      <c r="AR10" s="547" t="s">
        <v>33</v>
      </c>
    </row>
    <row r="11" spans="1:44" s="49" customFormat="1" ht="42" customHeight="1">
      <c r="A11" s="582"/>
      <c r="B11" s="582"/>
      <c r="C11" s="582"/>
      <c r="D11" s="580"/>
      <c r="E11" s="580"/>
      <c r="F11" s="589"/>
      <c r="G11" s="580"/>
      <c r="H11" s="547"/>
      <c r="I11" s="580"/>
      <c r="J11" s="547"/>
      <c r="K11" s="580"/>
      <c r="L11" s="481"/>
      <c r="M11" s="594"/>
      <c r="N11" s="594"/>
      <c r="O11" s="594"/>
      <c r="P11" s="594"/>
      <c r="Q11" s="594"/>
      <c r="R11" s="594"/>
      <c r="S11" s="588"/>
      <c r="T11" s="586"/>
      <c r="U11" s="581"/>
      <c r="V11" s="581"/>
      <c r="W11" s="590" t="s">
        <v>34</v>
      </c>
      <c r="X11" s="591"/>
      <c r="Y11" s="590" t="s">
        <v>35</v>
      </c>
      <c r="Z11" s="591"/>
      <c r="AA11" s="580"/>
      <c r="AB11" s="580"/>
      <c r="AC11" s="580"/>
      <c r="AD11" s="580"/>
      <c r="AE11" s="586"/>
      <c r="AF11" s="586"/>
      <c r="AG11" s="587"/>
      <c r="AH11" s="580"/>
      <c r="AI11" s="580"/>
      <c r="AJ11" s="580"/>
      <c r="AK11" s="580"/>
      <c r="AL11" s="579"/>
      <c r="AM11" s="586" t="s">
        <v>504</v>
      </c>
      <c r="AN11" s="586" t="s">
        <v>37</v>
      </c>
      <c r="AO11" s="586" t="s">
        <v>38</v>
      </c>
      <c r="AP11" s="586" t="s">
        <v>39</v>
      </c>
      <c r="AQ11" s="547"/>
      <c r="AR11" s="547"/>
    </row>
    <row r="12" spans="1:44" s="49" customFormat="1" ht="93" customHeight="1">
      <c r="A12" s="582"/>
      <c r="B12" s="582"/>
      <c r="C12" s="582"/>
      <c r="D12" s="580"/>
      <c r="E12" s="580"/>
      <c r="F12" s="589"/>
      <c r="G12" s="580"/>
      <c r="H12" s="547"/>
      <c r="I12" s="580"/>
      <c r="J12" s="547"/>
      <c r="K12" s="580"/>
      <c r="L12" s="481"/>
      <c r="M12" s="481" t="s">
        <v>40</v>
      </c>
      <c r="N12" s="475" t="s">
        <v>41</v>
      </c>
      <c r="O12" s="481" t="s">
        <v>42</v>
      </c>
      <c r="P12" s="475" t="s">
        <v>41</v>
      </c>
      <c r="Q12" s="481" t="s">
        <v>43</v>
      </c>
      <c r="R12" s="475" t="s">
        <v>41</v>
      </c>
      <c r="S12" s="588"/>
      <c r="T12" s="586"/>
      <c r="U12" s="582"/>
      <c r="V12" s="582"/>
      <c r="W12" s="482">
        <v>0.5</v>
      </c>
      <c r="X12" s="50" t="s">
        <v>41</v>
      </c>
      <c r="Y12" s="482">
        <v>0.6</v>
      </c>
      <c r="Z12" s="50" t="s">
        <v>41</v>
      </c>
      <c r="AA12" s="480" t="s">
        <v>44</v>
      </c>
      <c r="AB12" s="50" t="s">
        <v>41</v>
      </c>
      <c r="AC12" s="480" t="s">
        <v>505</v>
      </c>
      <c r="AD12" s="50" t="s">
        <v>41</v>
      </c>
      <c r="AE12" s="586"/>
      <c r="AF12" s="586"/>
      <c r="AG12" s="588"/>
      <c r="AH12" s="481" t="s">
        <v>45</v>
      </c>
      <c r="AI12" s="50" t="s">
        <v>41</v>
      </c>
      <c r="AJ12" s="481" t="s">
        <v>46</v>
      </c>
      <c r="AK12" s="50" t="s">
        <v>41</v>
      </c>
      <c r="AL12" s="579"/>
      <c r="AM12" s="586"/>
      <c r="AN12" s="586"/>
      <c r="AO12" s="586"/>
      <c r="AP12" s="586"/>
      <c r="AQ12" s="547"/>
      <c r="AR12" s="547"/>
    </row>
    <row r="13" spans="1:44" s="7" customFormat="1" ht="12.75">
      <c r="A13" s="51">
        <v>1</v>
      </c>
      <c r="B13" s="52">
        <v>2</v>
      </c>
      <c r="C13" s="52">
        <v>3</v>
      </c>
      <c r="D13" s="51">
        <v>4</v>
      </c>
      <c r="E13" s="52">
        <v>5</v>
      </c>
      <c r="F13" s="143">
        <v>6</v>
      </c>
      <c r="G13" s="51">
        <v>7</v>
      </c>
      <c r="H13" s="52">
        <v>8</v>
      </c>
      <c r="I13" s="52">
        <v>9</v>
      </c>
      <c r="J13" s="51">
        <v>10</v>
      </c>
      <c r="K13" s="52">
        <v>11</v>
      </c>
      <c r="L13" s="52"/>
      <c r="M13" s="52">
        <v>12</v>
      </c>
      <c r="N13" s="51">
        <v>13</v>
      </c>
      <c r="O13" s="52">
        <v>14</v>
      </c>
      <c r="P13" s="52">
        <v>15</v>
      </c>
      <c r="Q13" s="51">
        <v>16</v>
      </c>
      <c r="R13" s="52">
        <v>17</v>
      </c>
      <c r="S13" s="52">
        <v>18</v>
      </c>
      <c r="T13" s="51">
        <v>19</v>
      </c>
      <c r="U13" s="52">
        <v>20</v>
      </c>
      <c r="V13" s="52">
        <v>20</v>
      </c>
      <c r="W13" s="52">
        <v>21</v>
      </c>
      <c r="X13" s="51">
        <v>22</v>
      </c>
      <c r="Y13" s="52">
        <v>23</v>
      </c>
      <c r="Z13" s="52">
        <v>24</v>
      </c>
      <c r="AA13" s="51">
        <v>25</v>
      </c>
      <c r="AB13" s="52">
        <v>26</v>
      </c>
      <c r="AC13" s="52">
        <v>27</v>
      </c>
      <c r="AD13" s="51">
        <v>28</v>
      </c>
      <c r="AE13" s="52">
        <v>29</v>
      </c>
      <c r="AF13" s="52">
        <v>30</v>
      </c>
      <c r="AG13" s="51">
        <v>31</v>
      </c>
      <c r="AH13" s="52">
        <v>32</v>
      </c>
      <c r="AI13" s="52">
        <v>33</v>
      </c>
      <c r="AJ13" s="52">
        <v>32</v>
      </c>
      <c r="AK13" s="52">
        <v>33</v>
      </c>
      <c r="AL13" s="51">
        <v>34</v>
      </c>
      <c r="AM13" s="52">
        <v>35</v>
      </c>
      <c r="AN13" s="52">
        <v>36</v>
      </c>
      <c r="AO13" s="51">
        <v>37</v>
      </c>
      <c r="AP13" s="52">
        <v>38</v>
      </c>
      <c r="AQ13" s="52">
        <v>39</v>
      </c>
      <c r="AR13" s="51">
        <v>40</v>
      </c>
    </row>
    <row r="14" spans="1:44" s="215" customFormat="1" ht="15" customHeight="1">
      <c r="A14" s="51">
        <v>1</v>
      </c>
      <c r="B14" s="216" t="s">
        <v>166</v>
      </c>
      <c r="C14" s="217" t="s">
        <v>60</v>
      </c>
      <c r="D14" s="64" t="s">
        <v>50</v>
      </c>
      <c r="E14" s="51" t="s">
        <v>146</v>
      </c>
      <c r="F14" s="408" t="s">
        <v>549</v>
      </c>
      <c r="G14" s="214">
        <v>4.2300000000000004</v>
      </c>
      <c r="H14" s="66">
        <v>17697</v>
      </c>
      <c r="I14" s="200">
        <v>2</v>
      </c>
      <c r="J14" s="66">
        <f t="shared" ref="J14:J15" si="0">H14*G14*I14</f>
        <v>149716.62000000002</v>
      </c>
      <c r="K14" s="200">
        <f t="shared" ref="K14:K15" si="1">(M14+O14+Q14)/16</f>
        <v>0.75</v>
      </c>
      <c r="L14" s="200">
        <f t="shared" ref="L14:L15" si="2">M14+O14+Q14</f>
        <v>12</v>
      </c>
      <c r="M14" s="210"/>
      <c r="N14" s="66">
        <f t="shared" ref="N14:N15" si="3">J14/16*M14</f>
        <v>0</v>
      </c>
      <c r="O14" s="210">
        <v>12</v>
      </c>
      <c r="P14" s="66">
        <f t="shared" ref="P14:P15" si="4">J14/16*O14</f>
        <v>112287.46500000003</v>
      </c>
      <c r="Q14" s="210"/>
      <c r="R14" s="66">
        <f t="shared" ref="R14:R15" si="5">J14/16*Q14</f>
        <v>0</v>
      </c>
      <c r="S14" s="201">
        <f t="shared" ref="S14:S15" si="6">(N14+P14+R14)*25%</f>
        <v>28071.866250000006</v>
      </c>
      <c r="T14" s="66">
        <f t="shared" ref="T14:T15" si="7">N14+P14+R14+S14</f>
        <v>140359.33125000005</v>
      </c>
      <c r="U14" s="66">
        <f t="shared" ref="U14:U15" si="8">T14*10%</f>
        <v>14035.933125000005</v>
      </c>
      <c r="V14" s="66">
        <f t="shared" ref="V14:V15" si="9">T14*20%</f>
        <v>28071.86625000001</v>
      </c>
      <c r="W14" s="210"/>
      <c r="X14" s="66">
        <f t="shared" ref="X14:X15" si="10">(H14*W14)*50%</f>
        <v>0</v>
      </c>
      <c r="Y14" s="211">
        <v>1</v>
      </c>
      <c r="Z14" s="66">
        <f t="shared" ref="Z14:Z15" si="11">H14*Y14*60%</f>
        <v>10618.199999999999</v>
      </c>
      <c r="AA14" s="210">
        <v>12</v>
      </c>
      <c r="AB14" s="66">
        <f t="shared" ref="AB14:AB15" si="12">((H14*40%/16*AA14))</f>
        <v>5309.1</v>
      </c>
      <c r="AC14" s="211"/>
      <c r="AD14" s="66">
        <f t="shared" ref="AD14:AD15" si="13">((H14*40%/16*AC14))</f>
        <v>0</v>
      </c>
      <c r="AE14" s="212"/>
      <c r="AF14" s="212"/>
      <c r="AG14" s="66">
        <f t="shared" ref="AG14:AG15" si="14">T14*30%</f>
        <v>42107.79937500001</v>
      </c>
      <c r="AH14" s="66"/>
      <c r="AI14" s="66">
        <f t="shared" ref="AI14:AI15" si="15">((H14*20%/16*AH14))</f>
        <v>0</v>
      </c>
      <c r="AJ14" s="210"/>
      <c r="AK14" s="66">
        <f t="shared" ref="AK14:AK15" si="16">((H14*40%/16*AJ14))</f>
        <v>0</v>
      </c>
      <c r="AL14" s="210"/>
      <c r="AM14" s="213"/>
      <c r="AN14" s="210"/>
      <c r="AO14" s="210"/>
      <c r="AP14" s="210"/>
      <c r="AQ14" s="66">
        <f t="shared" ref="AQ14:AQ15" si="17">SUM(T14:AP14)</f>
        <v>240515.2300000001</v>
      </c>
      <c r="AR14" s="66">
        <f t="shared" ref="AR14:AR15" si="18">AQ14*12/1000</f>
        <v>2886.1827600000011</v>
      </c>
    </row>
    <row r="15" spans="1:44" s="215" customFormat="1" ht="15.75" customHeight="1">
      <c r="A15" s="51">
        <v>2</v>
      </c>
      <c r="B15" s="216" t="s">
        <v>171</v>
      </c>
      <c r="C15" s="217" t="s">
        <v>60</v>
      </c>
      <c r="D15" s="64" t="s">
        <v>50</v>
      </c>
      <c r="E15" s="51" t="s">
        <v>146</v>
      </c>
      <c r="F15" s="408" t="s">
        <v>558</v>
      </c>
      <c r="G15" s="214">
        <v>4.1399999999999997</v>
      </c>
      <c r="H15" s="66">
        <v>17697</v>
      </c>
      <c r="I15" s="200">
        <v>2</v>
      </c>
      <c r="J15" s="66">
        <f t="shared" si="0"/>
        <v>146531.15999999997</v>
      </c>
      <c r="K15" s="200">
        <f t="shared" si="1"/>
        <v>0.3125</v>
      </c>
      <c r="L15" s="200">
        <f t="shared" si="2"/>
        <v>5</v>
      </c>
      <c r="M15" s="210"/>
      <c r="N15" s="66">
        <f t="shared" si="3"/>
        <v>0</v>
      </c>
      <c r="O15" s="210">
        <v>5</v>
      </c>
      <c r="P15" s="66">
        <f t="shared" si="4"/>
        <v>45790.987499999988</v>
      </c>
      <c r="Q15" s="210"/>
      <c r="R15" s="66">
        <f t="shared" si="5"/>
        <v>0</v>
      </c>
      <c r="S15" s="201">
        <f t="shared" si="6"/>
        <v>11447.746874999997</v>
      </c>
      <c r="T15" s="66">
        <f t="shared" si="7"/>
        <v>57238.734374999985</v>
      </c>
      <c r="U15" s="66">
        <f t="shared" si="8"/>
        <v>5723.8734374999985</v>
      </c>
      <c r="V15" s="66">
        <f t="shared" si="9"/>
        <v>11447.746874999997</v>
      </c>
      <c r="W15" s="210"/>
      <c r="X15" s="66">
        <f t="shared" si="10"/>
        <v>0</v>
      </c>
      <c r="Y15" s="211">
        <v>1</v>
      </c>
      <c r="Z15" s="66">
        <f t="shared" si="11"/>
        <v>10618.199999999999</v>
      </c>
      <c r="AA15" s="210">
        <v>16</v>
      </c>
      <c r="AB15" s="66">
        <f t="shared" si="12"/>
        <v>7078.8</v>
      </c>
      <c r="AC15" s="211"/>
      <c r="AD15" s="66">
        <f t="shared" si="13"/>
        <v>0</v>
      </c>
      <c r="AE15" s="212"/>
      <c r="AF15" s="212"/>
      <c r="AG15" s="66">
        <f t="shared" si="14"/>
        <v>17171.620312499996</v>
      </c>
      <c r="AH15" s="66"/>
      <c r="AI15" s="66">
        <f t="shared" si="15"/>
        <v>0</v>
      </c>
      <c r="AJ15" s="210"/>
      <c r="AK15" s="66">
        <f t="shared" si="16"/>
        <v>0</v>
      </c>
      <c r="AL15" s="210"/>
      <c r="AM15" s="213"/>
      <c r="AN15" s="210"/>
      <c r="AO15" s="210"/>
      <c r="AP15" s="210"/>
      <c r="AQ15" s="66">
        <f t="shared" si="17"/>
        <v>109295.97499999998</v>
      </c>
      <c r="AR15" s="66">
        <f t="shared" si="18"/>
        <v>1311.5516999999998</v>
      </c>
    </row>
    <row r="16" spans="1:44" s="76" customFormat="1" ht="15" customHeight="1">
      <c r="A16" s="259"/>
      <c r="B16" s="70" t="s">
        <v>146</v>
      </c>
      <c r="C16" s="70"/>
      <c r="D16" s="70"/>
      <c r="E16" s="70"/>
      <c r="F16" s="71"/>
      <c r="G16" s="72"/>
      <c r="H16" s="73"/>
      <c r="I16" s="74"/>
      <c r="J16" s="75">
        <f t="shared" ref="J16:AR16" si="19">SUM(J14:J15)</f>
        <v>296247.78000000003</v>
      </c>
      <c r="K16" s="75">
        <f t="shared" si="19"/>
        <v>1.0625</v>
      </c>
      <c r="L16" s="75">
        <f t="shared" si="19"/>
        <v>17</v>
      </c>
      <c r="M16" s="75">
        <f t="shared" si="19"/>
        <v>0</v>
      </c>
      <c r="N16" s="75">
        <f t="shared" si="19"/>
        <v>0</v>
      </c>
      <c r="O16" s="75">
        <f t="shared" si="19"/>
        <v>17</v>
      </c>
      <c r="P16" s="75">
        <f t="shared" si="19"/>
        <v>158078.45250000001</v>
      </c>
      <c r="Q16" s="75">
        <f t="shared" si="19"/>
        <v>0</v>
      </c>
      <c r="R16" s="75">
        <f t="shared" si="19"/>
        <v>0</v>
      </c>
      <c r="S16" s="75">
        <f t="shared" si="19"/>
        <v>39519.613125000003</v>
      </c>
      <c r="T16" s="75">
        <f t="shared" si="19"/>
        <v>197598.06562500005</v>
      </c>
      <c r="U16" s="75">
        <f t="shared" si="19"/>
        <v>19759.806562500002</v>
      </c>
      <c r="V16" s="75">
        <f t="shared" si="19"/>
        <v>39519.613125000003</v>
      </c>
      <c r="W16" s="75">
        <f t="shared" si="19"/>
        <v>0</v>
      </c>
      <c r="X16" s="75">
        <f t="shared" si="19"/>
        <v>0</v>
      </c>
      <c r="Y16" s="75">
        <f t="shared" si="19"/>
        <v>2</v>
      </c>
      <c r="Z16" s="75">
        <f t="shared" si="19"/>
        <v>21236.399999999998</v>
      </c>
      <c r="AA16" s="75">
        <f t="shared" si="19"/>
        <v>28</v>
      </c>
      <c r="AB16" s="75">
        <f t="shared" si="19"/>
        <v>12387.900000000001</v>
      </c>
      <c r="AC16" s="75">
        <f t="shared" si="19"/>
        <v>0</v>
      </c>
      <c r="AD16" s="75">
        <f t="shared" si="19"/>
        <v>0</v>
      </c>
      <c r="AE16" s="75">
        <f t="shared" si="19"/>
        <v>0</v>
      </c>
      <c r="AF16" s="75">
        <f t="shared" si="19"/>
        <v>0</v>
      </c>
      <c r="AG16" s="75">
        <f t="shared" si="19"/>
        <v>59279.419687500005</v>
      </c>
      <c r="AH16" s="75">
        <f t="shared" si="19"/>
        <v>0</v>
      </c>
      <c r="AI16" s="75">
        <f t="shared" si="19"/>
        <v>0</v>
      </c>
      <c r="AJ16" s="75">
        <f t="shared" si="19"/>
        <v>0</v>
      </c>
      <c r="AK16" s="75">
        <f t="shared" si="19"/>
        <v>0</v>
      </c>
      <c r="AL16" s="75">
        <f t="shared" si="19"/>
        <v>0</v>
      </c>
      <c r="AM16" s="75">
        <f t="shared" si="19"/>
        <v>0</v>
      </c>
      <c r="AN16" s="75">
        <f t="shared" si="19"/>
        <v>0</v>
      </c>
      <c r="AO16" s="75">
        <f t="shared" si="19"/>
        <v>0</v>
      </c>
      <c r="AP16" s="75">
        <f t="shared" si="19"/>
        <v>0</v>
      </c>
      <c r="AQ16" s="75">
        <f t="shared" si="19"/>
        <v>349811.20500000007</v>
      </c>
      <c r="AR16" s="75">
        <f t="shared" si="19"/>
        <v>4197.7344600000006</v>
      </c>
    </row>
    <row r="17" spans="1:44">
      <c r="A17" s="82"/>
      <c r="H17" s="84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</row>
    <row r="18" spans="1:44">
      <c r="A18" s="82"/>
      <c r="H18" s="84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</row>
    <row r="19" spans="1:44">
      <c r="A19" s="82"/>
      <c r="H19" s="84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</row>
    <row r="20" spans="1:44" ht="22.5" customHeight="1">
      <c r="A20" s="82"/>
      <c r="B20" s="575" t="s">
        <v>507</v>
      </c>
      <c r="C20" s="575"/>
      <c r="D20" s="575"/>
      <c r="E20" s="575"/>
      <c r="F20" s="575"/>
      <c r="I20" s="592" t="s">
        <v>381</v>
      </c>
      <c r="J20" s="533"/>
      <c r="K20" s="533"/>
      <c r="L20" s="533"/>
      <c r="M20" s="533"/>
      <c r="N20" s="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</row>
    <row r="21" spans="1:44">
      <c r="A21" s="82"/>
      <c r="B21" s="187"/>
      <c r="C21" s="43"/>
      <c r="F21" s="82"/>
      <c r="K21" s="186"/>
      <c r="L21" s="186"/>
      <c r="M21" s="2"/>
      <c r="N21" s="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</row>
    <row r="22" spans="1:44" ht="25.5" customHeight="1">
      <c r="A22" s="82"/>
      <c r="B22" s="576"/>
      <c r="C22" s="576"/>
      <c r="D22" s="576"/>
      <c r="E22" s="576"/>
      <c r="F22" s="576"/>
      <c r="G22" s="576"/>
      <c r="K22" s="573"/>
      <c r="L22" s="573"/>
      <c r="M22" s="574"/>
      <c r="N22" s="574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</row>
  </sheetData>
  <mergeCells count="42">
    <mergeCell ref="A10:A12"/>
    <mergeCell ref="B10:B12"/>
    <mergeCell ref="C10:C12"/>
    <mergeCell ref="D10:D12"/>
    <mergeCell ref="E10:E12"/>
    <mergeCell ref="AC2:AE2"/>
    <mergeCell ref="AC3:AI3"/>
    <mergeCell ref="AC5:AG5"/>
    <mergeCell ref="A8:AR8"/>
    <mergeCell ref="AJ9:AQ9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B20:F20"/>
    <mergeCell ref="I20:M20"/>
    <mergeCell ref="B22:G22"/>
    <mergeCell ref="K22:N22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K18"/>
  <sheetViews>
    <sheetView topLeftCell="A6" zoomScaleSheetLayoutView="90" workbookViewId="0">
      <selection sqref="A1:AE17"/>
    </sheetView>
  </sheetViews>
  <sheetFormatPr defaultColWidth="6.140625" defaultRowHeight="12.75"/>
  <cols>
    <col min="1" max="1" width="4.140625" style="77" customWidth="1"/>
    <col min="2" max="2" width="21.28515625" style="293" customWidth="1"/>
    <col min="3" max="3" width="33.5703125" style="330" customWidth="1"/>
    <col min="4" max="4" width="9.28515625" style="294" customWidth="1"/>
    <col min="5" max="5" width="6.28515625" style="77" customWidth="1"/>
    <col min="6" max="6" width="5.7109375" style="77" customWidth="1"/>
    <col min="7" max="7" width="5.85546875" style="77" customWidth="1"/>
    <col min="8" max="8" width="5.5703125" style="77" customWidth="1"/>
    <col min="9" max="9" width="7.140625" style="296" customWidth="1"/>
    <col min="10" max="10" width="5" style="77" customWidth="1"/>
    <col min="11" max="11" width="9.85546875" style="296" customWidth="1"/>
    <col min="12" max="12" width="9.42578125" style="296" customWidth="1"/>
    <col min="13" max="13" width="10" style="296" customWidth="1"/>
    <col min="14" max="14" width="5.28515625" style="296" customWidth="1"/>
    <col min="15" max="15" width="10" style="296" customWidth="1"/>
    <col min="16" max="16" width="8.42578125" style="296" customWidth="1"/>
    <col min="17" max="17" width="7.85546875" style="296" customWidth="1"/>
    <col min="18" max="18" width="7.5703125" style="296" customWidth="1"/>
    <col min="19" max="19" width="7.28515625" style="296" customWidth="1"/>
    <col min="20" max="20" width="6.140625" style="296" customWidth="1"/>
    <col min="21" max="21" width="7.5703125" style="296" customWidth="1"/>
    <col min="22" max="22" width="6.42578125" style="296" customWidth="1"/>
    <col min="23" max="23" width="6.5703125" style="296" customWidth="1"/>
    <col min="24" max="24" width="5.42578125" style="296" customWidth="1"/>
    <col min="25" max="25" width="7.28515625" style="296" customWidth="1"/>
    <col min="26" max="26" width="8.7109375" style="296" customWidth="1"/>
    <col min="27" max="27" width="7.140625" style="296" customWidth="1"/>
    <col min="28" max="28" width="4.42578125" style="296" customWidth="1"/>
    <col min="29" max="29" width="8" style="296" customWidth="1"/>
    <col min="30" max="30" width="9.42578125" style="296" customWidth="1"/>
    <col min="31" max="31" width="9.28515625" style="296" customWidth="1"/>
    <col min="32" max="16384" width="6.140625" style="77"/>
  </cols>
  <sheetData>
    <row r="2" spans="1:37" ht="14.25" customHeight="1">
      <c r="B2" s="92"/>
      <c r="C2" s="293"/>
      <c r="E2" s="295"/>
      <c r="F2" s="296"/>
      <c r="I2" s="77"/>
      <c r="Y2" s="298" t="s">
        <v>0</v>
      </c>
      <c r="Z2" s="299"/>
      <c r="AA2" s="299"/>
      <c r="AB2" s="299"/>
      <c r="AF2" s="298"/>
      <c r="AG2" s="299"/>
      <c r="AH2" s="299"/>
      <c r="AI2" s="299"/>
      <c r="AJ2" s="296"/>
      <c r="AK2" s="296"/>
    </row>
    <row r="3" spans="1:37" ht="14.25" customHeight="1">
      <c r="B3" s="92"/>
      <c r="C3" s="293"/>
      <c r="E3" s="295"/>
      <c r="F3" s="296"/>
      <c r="I3" s="77"/>
      <c r="S3" s="492"/>
      <c r="T3" s="492"/>
      <c r="U3" s="492"/>
      <c r="V3" s="492"/>
      <c r="W3" s="492"/>
      <c r="X3" s="492"/>
      <c r="Y3" s="470" t="s">
        <v>849</v>
      </c>
      <c r="Z3" s="493"/>
      <c r="AA3" s="299"/>
      <c r="AB3" s="299"/>
      <c r="AF3" s="300"/>
      <c r="AG3" s="299"/>
      <c r="AH3" s="299"/>
      <c r="AI3" s="299"/>
      <c r="AJ3" s="296"/>
      <c r="AK3" s="296"/>
    </row>
    <row r="4" spans="1:37" ht="14.25" customHeight="1">
      <c r="B4" s="92"/>
      <c r="C4" s="293"/>
      <c r="E4" s="295"/>
      <c r="F4" s="296"/>
      <c r="I4" s="77"/>
      <c r="Y4" s="471" t="s">
        <v>850</v>
      </c>
      <c r="Z4" s="204"/>
      <c r="AA4" s="204"/>
      <c r="AB4" s="204"/>
      <c r="AF4" s="298"/>
      <c r="AG4" s="204"/>
      <c r="AH4" s="204"/>
      <c r="AI4" s="204"/>
      <c r="AJ4" s="296"/>
      <c r="AK4" s="296"/>
    </row>
    <row r="5" spans="1:37" ht="18" customHeight="1">
      <c r="B5" s="92"/>
      <c r="C5" s="293"/>
      <c r="E5" s="295"/>
      <c r="F5" s="296"/>
      <c r="I5" s="77"/>
      <c r="Y5" s="298" t="s">
        <v>837</v>
      </c>
      <c r="Z5" s="204"/>
      <c r="AA5" s="204"/>
      <c r="AB5" s="204"/>
      <c r="AF5" s="298"/>
      <c r="AG5" s="204"/>
      <c r="AH5" s="204"/>
      <c r="AI5" s="204"/>
      <c r="AJ5" s="296"/>
      <c r="AK5" s="296"/>
    </row>
    <row r="6" spans="1:37" ht="14.25" customHeight="1">
      <c r="B6" s="92"/>
      <c r="C6" s="293"/>
      <c r="E6" s="295"/>
      <c r="F6" s="296"/>
      <c r="I6" s="77"/>
      <c r="Z6" s="93"/>
    </row>
    <row r="7" spans="1:37" ht="13.5" customHeight="1">
      <c r="B7" s="92"/>
      <c r="C7" s="293"/>
      <c r="E7" s="295"/>
      <c r="F7" s="296"/>
      <c r="I7" s="77"/>
      <c r="Z7" s="93"/>
    </row>
    <row r="8" spans="1:37" ht="39.6" customHeight="1">
      <c r="A8" s="572" t="s">
        <v>852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</row>
    <row r="9" spans="1:37" s="94" customFormat="1" ht="28.5" customHeight="1">
      <c r="A9" s="559" t="s">
        <v>10</v>
      </c>
      <c r="B9" s="559" t="s">
        <v>180</v>
      </c>
      <c r="C9" s="559" t="s">
        <v>179</v>
      </c>
      <c r="D9" s="559" t="s">
        <v>181</v>
      </c>
      <c r="E9" s="559" t="s">
        <v>384</v>
      </c>
      <c r="F9" s="559" t="s">
        <v>14</v>
      </c>
      <c r="G9" s="559" t="s">
        <v>182</v>
      </c>
      <c r="H9" s="559" t="s">
        <v>183</v>
      </c>
      <c r="I9" s="557" t="s">
        <v>16</v>
      </c>
      <c r="J9" s="559" t="s">
        <v>184</v>
      </c>
      <c r="K9" s="557" t="s">
        <v>185</v>
      </c>
      <c r="L9" s="557" t="s">
        <v>186</v>
      </c>
      <c r="M9" s="557" t="s">
        <v>22</v>
      </c>
      <c r="N9" s="568" t="s">
        <v>841</v>
      </c>
      <c r="O9" s="570" t="s">
        <v>22</v>
      </c>
      <c r="P9" s="564" t="s">
        <v>31</v>
      </c>
      <c r="Q9" s="565"/>
      <c r="R9" s="565"/>
      <c r="S9" s="565"/>
      <c r="T9" s="565"/>
      <c r="U9" s="565"/>
      <c r="V9" s="565"/>
      <c r="W9" s="477"/>
      <c r="X9" s="477"/>
      <c r="Y9" s="547" t="s">
        <v>31</v>
      </c>
      <c r="Z9" s="547"/>
      <c r="AA9" s="547"/>
      <c r="AB9" s="547"/>
      <c r="AC9" s="547"/>
      <c r="AD9" s="557" t="s">
        <v>32</v>
      </c>
      <c r="AE9" s="557" t="s">
        <v>33</v>
      </c>
    </row>
    <row r="10" spans="1:37" s="94" customFormat="1" ht="129" customHeight="1">
      <c r="A10" s="560"/>
      <c r="B10" s="560"/>
      <c r="C10" s="560"/>
      <c r="D10" s="560"/>
      <c r="E10" s="560"/>
      <c r="F10" s="560"/>
      <c r="G10" s="560"/>
      <c r="H10" s="560"/>
      <c r="I10" s="558"/>
      <c r="J10" s="560"/>
      <c r="K10" s="558"/>
      <c r="L10" s="558"/>
      <c r="M10" s="558"/>
      <c r="N10" s="569"/>
      <c r="O10" s="571"/>
      <c r="P10" s="480">
        <v>0.1</v>
      </c>
      <c r="Q10" s="480" t="s">
        <v>187</v>
      </c>
      <c r="R10" s="475" t="s">
        <v>188</v>
      </c>
      <c r="S10" s="475" t="s">
        <v>803</v>
      </c>
      <c r="T10" s="475" t="s">
        <v>189</v>
      </c>
      <c r="U10" s="475" t="s">
        <v>190</v>
      </c>
      <c r="V10" s="475" t="s">
        <v>191</v>
      </c>
      <c r="W10" s="476" t="s">
        <v>442</v>
      </c>
      <c r="X10" s="476" t="s">
        <v>443</v>
      </c>
      <c r="Y10" s="476" t="s">
        <v>36</v>
      </c>
      <c r="Z10" s="476" t="s">
        <v>37</v>
      </c>
      <c r="AA10" s="476" t="s">
        <v>38</v>
      </c>
      <c r="AB10" s="476" t="s">
        <v>39</v>
      </c>
      <c r="AC10" s="476" t="s">
        <v>192</v>
      </c>
      <c r="AD10" s="558"/>
      <c r="AE10" s="558"/>
    </row>
    <row r="11" spans="1:37" s="105" customFormat="1" ht="12.75" customHeight="1">
      <c r="A11" s="95">
        <v>1</v>
      </c>
      <c r="B11" s="95">
        <v>3</v>
      </c>
      <c r="C11" s="95">
        <v>2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/>
      <c r="O11" s="95"/>
      <c r="P11" s="95">
        <v>14</v>
      </c>
      <c r="Q11" s="95">
        <v>15</v>
      </c>
      <c r="R11" s="95">
        <v>16</v>
      </c>
      <c r="S11" s="95">
        <v>17</v>
      </c>
      <c r="T11" s="95">
        <v>18</v>
      </c>
      <c r="U11" s="95">
        <v>19</v>
      </c>
      <c r="V11" s="95">
        <v>20</v>
      </c>
      <c r="W11" s="95">
        <v>21</v>
      </c>
      <c r="X11" s="95">
        <v>22</v>
      </c>
      <c r="Y11" s="95">
        <v>23</v>
      </c>
      <c r="Z11" s="95">
        <v>24</v>
      </c>
      <c r="AA11" s="95">
        <v>25</v>
      </c>
      <c r="AB11" s="95">
        <v>26</v>
      </c>
      <c r="AC11" s="95">
        <v>27</v>
      </c>
      <c r="AD11" s="95">
        <v>28</v>
      </c>
      <c r="AE11" s="95">
        <v>29</v>
      </c>
    </row>
    <row r="12" spans="1:37" s="105" customFormat="1" ht="12" customHeight="1" thickBot="1">
      <c r="A12" s="95">
        <v>1</v>
      </c>
      <c r="B12" s="216" t="s">
        <v>626</v>
      </c>
      <c r="C12" s="79" t="s">
        <v>232</v>
      </c>
      <c r="D12" s="80" t="s">
        <v>50</v>
      </c>
      <c r="E12" s="95">
        <v>0.75</v>
      </c>
      <c r="F12" s="313" t="s">
        <v>216</v>
      </c>
      <c r="G12" s="314">
        <v>3.05</v>
      </c>
      <c r="H12" s="96">
        <v>3.71</v>
      </c>
      <c r="I12" s="68">
        <v>17697</v>
      </c>
      <c r="J12" s="96">
        <v>2</v>
      </c>
      <c r="K12" s="68">
        <f t="shared" ref="K12" si="0">I12*E12*H12*J12</f>
        <v>98483.804999999993</v>
      </c>
      <c r="L12" s="68">
        <f t="shared" ref="L12" si="1">K12*25%</f>
        <v>24620.951249999998</v>
      </c>
      <c r="M12" s="68">
        <f t="shared" ref="M12" si="2">K12+L12</f>
        <v>123104.75624999999</v>
      </c>
      <c r="N12" s="68"/>
      <c r="O12" s="68">
        <f t="shared" ref="O12" si="3">M12</f>
        <v>123104.75624999999</v>
      </c>
      <c r="P12" s="68">
        <f t="shared" ref="P12" si="4">O12*10%</f>
        <v>12310.475624999999</v>
      </c>
      <c r="Q12" s="68">
        <f t="shared" ref="Q12" si="5">O12*20%</f>
        <v>24620.951249999998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109">
        <f t="shared" ref="AD12" si="6">SUM(O12:AC12)</f>
        <v>160036.18312499998</v>
      </c>
      <c r="AE12" s="109">
        <f t="shared" ref="AE12" si="7">(AD12*12)/1000</f>
        <v>1920.4341974999998</v>
      </c>
    </row>
    <row r="13" spans="1:37" ht="13.5" thickBot="1">
      <c r="A13" s="364"/>
      <c r="B13" s="489"/>
      <c r="C13" s="376"/>
      <c r="D13" s="490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</row>
    <row r="16" spans="1:37" ht="51" customHeight="1">
      <c r="B16" s="487" t="s">
        <v>196</v>
      </c>
      <c r="C16" s="92"/>
      <c r="D16" s="545" t="s">
        <v>381</v>
      </c>
      <c r="E16" s="542"/>
      <c r="F16" s="204"/>
      <c r="G16" s="204"/>
      <c r="H16" s="204"/>
      <c r="I16" s="491"/>
    </row>
    <row r="17" spans="2:9" ht="15.75">
      <c r="B17" s="329"/>
      <c r="C17" s="92"/>
      <c r="D17" s="328"/>
      <c r="E17" s="204"/>
      <c r="F17" s="204"/>
      <c r="G17" s="204"/>
      <c r="H17" s="204"/>
      <c r="I17" s="491"/>
    </row>
    <row r="18" spans="2:9" ht="15.75">
      <c r="B18" s="329"/>
      <c r="C18" s="92"/>
      <c r="D18" s="328"/>
      <c r="E18" s="204"/>
      <c r="F18" s="204"/>
      <c r="G18" s="204"/>
      <c r="H18" s="204"/>
      <c r="I18" s="491"/>
    </row>
  </sheetData>
  <mergeCells count="21">
    <mergeCell ref="A8:AE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D16:E16"/>
    <mergeCell ref="P9:V9"/>
    <mergeCell ref="Y9:AC9"/>
    <mergeCell ref="AD9:AD10"/>
    <mergeCell ref="AE9:AE10"/>
    <mergeCell ref="J9:J10"/>
    <mergeCell ref="K9:K10"/>
    <mergeCell ref="L9:L10"/>
    <mergeCell ref="M9:M10"/>
    <mergeCell ref="N9:N10"/>
    <mergeCell ref="O9:O10"/>
  </mergeCells>
  <pageMargins left="0" right="0" top="0.19685039370078741" bottom="0.19685039370078741" header="0" footer="0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AK18"/>
  <sheetViews>
    <sheetView topLeftCell="A7" zoomScaleSheetLayoutView="90" workbookViewId="0">
      <selection sqref="A1:AE17"/>
    </sheetView>
  </sheetViews>
  <sheetFormatPr defaultColWidth="6.140625" defaultRowHeight="12.75"/>
  <cols>
    <col min="1" max="1" width="4.140625" style="77" customWidth="1"/>
    <col min="2" max="2" width="21.28515625" style="293" customWidth="1"/>
    <col min="3" max="3" width="33.5703125" style="330" customWidth="1"/>
    <col min="4" max="4" width="9.28515625" style="294" customWidth="1"/>
    <col min="5" max="5" width="6.28515625" style="77" customWidth="1"/>
    <col min="6" max="6" width="5.7109375" style="77" customWidth="1"/>
    <col min="7" max="7" width="5.85546875" style="77" customWidth="1"/>
    <col min="8" max="8" width="5.5703125" style="77" customWidth="1"/>
    <col min="9" max="9" width="7.140625" style="296" customWidth="1"/>
    <col min="10" max="10" width="5" style="77" customWidth="1"/>
    <col min="11" max="11" width="9.85546875" style="296" customWidth="1"/>
    <col min="12" max="12" width="9.42578125" style="296" customWidth="1"/>
    <col min="13" max="13" width="10" style="296" customWidth="1"/>
    <col min="14" max="14" width="5.28515625" style="296" customWidth="1"/>
    <col min="15" max="15" width="10" style="296" customWidth="1"/>
    <col min="16" max="16" width="8.42578125" style="296" customWidth="1"/>
    <col min="17" max="17" width="7.85546875" style="296" customWidth="1"/>
    <col min="18" max="18" width="7.5703125" style="296" customWidth="1"/>
    <col min="19" max="19" width="7.28515625" style="296" customWidth="1"/>
    <col min="20" max="20" width="6.140625" style="296" customWidth="1"/>
    <col min="21" max="21" width="7.5703125" style="296" customWidth="1"/>
    <col min="22" max="22" width="6.42578125" style="296" customWidth="1"/>
    <col min="23" max="23" width="6.5703125" style="296" customWidth="1"/>
    <col min="24" max="24" width="5.42578125" style="296" customWidth="1"/>
    <col min="25" max="25" width="7.28515625" style="296" customWidth="1"/>
    <col min="26" max="26" width="8.7109375" style="296" customWidth="1"/>
    <col min="27" max="27" width="7.140625" style="296" customWidth="1"/>
    <col min="28" max="28" width="4.42578125" style="296" customWidth="1"/>
    <col min="29" max="29" width="8" style="296" customWidth="1"/>
    <col min="30" max="30" width="9.42578125" style="296" customWidth="1"/>
    <col min="31" max="31" width="9.28515625" style="296" customWidth="1"/>
    <col min="32" max="16384" width="6.140625" style="77"/>
  </cols>
  <sheetData>
    <row r="2" spans="1:37" ht="14.25" customHeight="1">
      <c r="B2" s="92"/>
      <c r="C2" s="293"/>
      <c r="E2" s="295"/>
      <c r="F2" s="296"/>
      <c r="I2" s="77"/>
      <c r="Y2" s="298" t="s">
        <v>0</v>
      </c>
      <c r="Z2" s="299"/>
      <c r="AA2" s="299"/>
      <c r="AB2" s="299"/>
      <c r="AF2" s="298"/>
      <c r="AG2" s="299"/>
      <c r="AH2" s="299"/>
      <c r="AI2" s="299"/>
      <c r="AJ2" s="296"/>
      <c r="AK2" s="296"/>
    </row>
    <row r="3" spans="1:37" ht="14.25" customHeight="1">
      <c r="B3" s="92"/>
      <c r="C3" s="293"/>
      <c r="E3" s="295"/>
      <c r="F3" s="296"/>
      <c r="I3" s="77"/>
      <c r="S3" s="492"/>
      <c r="T3" s="492"/>
      <c r="U3" s="492"/>
      <c r="V3" s="492"/>
      <c r="W3" s="492"/>
      <c r="X3" s="492"/>
      <c r="Y3" s="470" t="s">
        <v>849</v>
      </c>
      <c r="Z3" s="493"/>
      <c r="AA3" s="299"/>
      <c r="AB3" s="299"/>
      <c r="AF3" s="300"/>
      <c r="AG3" s="299"/>
      <c r="AH3" s="299"/>
      <c r="AI3" s="299"/>
      <c r="AJ3" s="296"/>
      <c r="AK3" s="296"/>
    </row>
    <row r="4" spans="1:37" ht="14.25" customHeight="1">
      <c r="B4" s="92"/>
      <c r="C4" s="293"/>
      <c r="E4" s="295"/>
      <c r="F4" s="296"/>
      <c r="I4" s="77"/>
      <c r="Y4" s="471" t="s">
        <v>850</v>
      </c>
      <c r="Z4" s="204"/>
      <c r="AA4" s="204"/>
      <c r="AB4" s="204"/>
      <c r="AF4" s="298"/>
      <c r="AG4" s="204"/>
      <c r="AH4" s="204"/>
      <c r="AI4" s="204"/>
      <c r="AJ4" s="296"/>
      <c r="AK4" s="296"/>
    </row>
    <row r="5" spans="1:37" ht="18" customHeight="1">
      <c r="B5" s="92"/>
      <c r="C5" s="293"/>
      <c r="E5" s="295"/>
      <c r="F5" s="296"/>
      <c r="I5" s="77"/>
      <c r="Y5" s="298" t="s">
        <v>837</v>
      </c>
      <c r="Z5" s="204"/>
      <c r="AA5" s="204"/>
      <c r="AB5" s="204"/>
      <c r="AF5" s="298"/>
      <c r="AG5" s="204"/>
      <c r="AH5" s="204"/>
      <c r="AI5" s="204"/>
      <c r="AJ5" s="296"/>
      <c r="AK5" s="296"/>
    </row>
    <row r="6" spans="1:37" ht="14.25" customHeight="1">
      <c r="B6" s="92"/>
      <c r="C6" s="293"/>
      <c r="E6" s="295"/>
      <c r="F6" s="296"/>
      <c r="I6" s="77"/>
      <c r="Z6" s="93"/>
    </row>
    <row r="7" spans="1:37" ht="13.5" customHeight="1">
      <c r="B7" s="92"/>
      <c r="C7" s="293"/>
      <c r="E7" s="295"/>
      <c r="F7" s="296"/>
      <c r="I7" s="77"/>
      <c r="Z7" s="93"/>
    </row>
    <row r="8" spans="1:37" ht="39.6" customHeight="1">
      <c r="A8" s="572" t="s">
        <v>853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</row>
    <row r="9" spans="1:37" s="94" customFormat="1" ht="28.5" customHeight="1">
      <c r="A9" s="559" t="s">
        <v>10</v>
      </c>
      <c r="B9" s="559" t="s">
        <v>180</v>
      </c>
      <c r="C9" s="559" t="s">
        <v>179</v>
      </c>
      <c r="D9" s="559" t="s">
        <v>181</v>
      </c>
      <c r="E9" s="559" t="s">
        <v>384</v>
      </c>
      <c r="F9" s="559" t="s">
        <v>14</v>
      </c>
      <c r="G9" s="559" t="s">
        <v>182</v>
      </c>
      <c r="H9" s="559" t="s">
        <v>183</v>
      </c>
      <c r="I9" s="557" t="s">
        <v>16</v>
      </c>
      <c r="J9" s="559" t="s">
        <v>184</v>
      </c>
      <c r="K9" s="557" t="s">
        <v>185</v>
      </c>
      <c r="L9" s="557" t="s">
        <v>186</v>
      </c>
      <c r="M9" s="557" t="s">
        <v>22</v>
      </c>
      <c r="N9" s="568" t="s">
        <v>841</v>
      </c>
      <c r="O9" s="570" t="s">
        <v>22</v>
      </c>
      <c r="P9" s="564" t="s">
        <v>31</v>
      </c>
      <c r="Q9" s="565"/>
      <c r="R9" s="565"/>
      <c r="S9" s="565"/>
      <c r="T9" s="565"/>
      <c r="U9" s="565"/>
      <c r="V9" s="565"/>
      <c r="W9" s="477"/>
      <c r="X9" s="477"/>
      <c r="Y9" s="547" t="s">
        <v>31</v>
      </c>
      <c r="Z9" s="547"/>
      <c r="AA9" s="547"/>
      <c r="AB9" s="547"/>
      <c r="AC9" s="547"/>
      <c r="AD9" s="557" t="s">
        <v>32</v>
      </c>
      <c r="AE9" s="557" t="s">
        <v>33</v>
      </c>
    </row>
    <row r="10" spans="1:37" s="94" customFormat="1" ht="129" customHeight="1">
      <c r="A10" s="560"/>
      <c r="B10" s="560"/>
      <c r="C10" s="560"/>
      <c r="D10" s="560"/>
      <c r="E10" s="560"/>
      <c r="F10" s="560"/>
      <c r="G10" s="560"/>
      <c r="H10" s="560"/>
      <c r="I10" s="558"/>
      <c r="J10" s="560"/>
      <c r="K10" s="558"/>
      <c r="L10" s="558"/>
      <c r="M10" s="558"/>
      <c r="N10" s="569"/>
      <c r="O10" s="571"/>
      <c r="P10" s="480">
        <v>0.1</v>
      </c>
      <c r="Q10" s="480" t="s">
        <v>187</v>
      </c>
      <c r="R10" s="475" t="s">
        <v>188</v>
      </c>
      <c r="S10" s="475" t="s">
        <v>803</v>
      </c>
      <c r="T10" s="475" t="s">
        <v>189</v>
      </c>
      <c r="U10" s="475" t="s">
        <v>190</v>
      </c>
      <c r="V10" s="475" t="s">
        <v>191</v>
      </c>
      <c r="W10" s="476" t="s">
        <v>442</v>
      </c>
      <c r="X10" s="476" t="s">
        <v>443</v>
      </c>
      <c r="Y10" s="476" t="s">
        <v>36</v>
      </c>
      <c r="Z10" s="476" t="s">
        <v>37</v>
      </c>
      <c r="AA10" s="476" t="s">
        <v>38</v>
      </c>
      <c r="AB10" s="476" t="s">
        <v>39</v>
      </c>
      <c r="AC10" s="476" t="s">
        <v>192</v>
      </c>
      <c r="AD10" s="558"/>
      <c r="AE10" s="558"/>
    </row>
    <row r="11" spans="1:37" s="105" customFormat="1" ht="12.75" customHeight="1">
      <c r="A11" s="95">
        <v>1</v>
      </c>
      <c r="B11" s="95">
        <v>3</v>
      </c>
      <c r="C11" s="95">
        <v>2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/>
      <c r="O11" s="95"/>
      <c r="P11" s="95">
        <v>14</v>
      </c>
      <c r="Q11" s="95">
        <v>15</v>
      </c>
      <c r="R11" s="95">
        <v>16</v>
      </c>
      <c r="S11" s="95">
        <v>17</v>
      </c>
      <c r="T11" s="95">
        <v>18</v>
      </c>
      <c r="U11" s="95">
        <v>19</v>
      </c>
      <c r="V11" s="95">
        <v>20</v>
      </c>
      <c r="W11" s="95">
        <v>21</v>
      </c>
      <c r="X11" s="95">
        <v>22</v>
      </c>
      <c r="Y11" s="95">
        <v>23</v>
      </c>
      <c r="Z11" s="95">
        <v>24</v>
      </c>
      <c r="AA11" s="95">
        <v>25</v>
      </c>
      <c r="AB11" s="95">
        <v>26</v>
      </c>
      <c r="AC11" s="95">
        <v>27</v>
      </c>
      <c r="AD11" s="95">
        <v>28</v>
      </c>
      <c r="AE11" s="95">
        <v>29</v>
      </c>
    </row>
    <row r="12" spans="1:37" s="105" customFormat="1" ht="27.75" customHeight="1" thickBot="1">
      <c r="A12" s="95">
        <v>1</v>
      </c>
      <c r="B12" s="337" t="s">
        <v>854</v>
      </c>
      <c r="C12" s="79" t="s">
        <v>220</v>
      </c>
      <c r="D12" s="337" t="s">
        <v>50</v>
      </c>
      <c r="E12" s="95">
        <v>1</v>
      </c>
      <c r="F12" s="313" t="s">
        <v>222</v>
      </c>
      <c r="G12" s="314">
        <v>7.06</v>
      </c>
      <c r="H12" s="96">
        <v>3.85</v>
      </c>
      <c r="I12" s="68">
        <v>17697</v>
      </c>
      <c r="J12" s="96">
        <v>2</v>
      </c>
      <c r="K12" s="68">
        <f t="shared" ref="K12" si="0">I12*E12*H12*J12</f>
        <v>136266.9</v>
      </c>
      <c r="L12" s="68">
        <f t="shared" ref="L12" si="1">K12*25%</f>
        <v>34066.724999999999</v>
      </c>
      <c r="M12" s="68">
        <f t="shared" ref="M12" si="2">K12+L12</f>
        <v>170333.625</v>
      </c>
      <c r="N12" s="473">
        <v>1.3</v>
      </c>
      <c r="O12" s="68">
        <f t="shared" ref="O12" si="3">M12*N12</f>
        <v>221433.71249999999</v>
      </c>
      <c r="P12" s="68">
        <f>M12*10%</f>
        <v>17033.362499999999</v>
      </c>
      <c r="Q12" s="68">
        <f t="shared" ref="Q12" si="4">M12*20%</f>
        <v>34066.724999999999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109">
        <f t="shared" ref="AD12" si="5">SUM(O12:AC12)</f>
        <v>272533.8</v>
      </c>
      <c r="AE12" s="109">
        <f t="shared" ref="AE12" si="6">(AD12*12)/1000</f>
        <v>3270.4055999999996</v>
      </c>
    </row>
    <row r="13" spans="1:37" ht="13.5" thickBot="1">
      <c r="A13" s="364"/>
      <c r="B13" s="489"/>
      <c r="C13" s="376"/>
      <c r="D13" s="490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</row>
    <row r="16" spans="1:37" ht="51" customHeight="1">
      <c r="B16" s="487" t="s">
        <v>196</v>
      </c>
      <c r="C16" s="92"/>
      <c r="D16" s="545" t="s">
        <v>381</v>
      </c>
      <c r="E16" s="542"/>
      <c r="F16" s="204"/>
      <c r="G16" s="204"/>
      <c r="H16" s="204"/>
      <c r="I16" s="491"/>
    </row>
    <row r="17" spans="2:9" ht="15.75">
      <c r="B17" s="329"/>
      <c r="C17" s="92"/>
      <c r="D17" s="328"/>
      <c r="E17" s="204"/>
      <c r="F17" s="204"/>
      <c r="G17" s="204"/>
      <c r="H17" s="204"/>
      <c r="I17" s="491"/>
    </row>
    <row r="18" spans="2:9" ht="15.75">
      <c r="B18" s="329"/>
      <c r="C18" s="92"/>
      <c r="D18" s="328"/>
      <c r="E18" s="204"/>
      <c r="F18" s="204"/>
      <c r="G18" s="204"/>
      <c r="H18" s="204"/>
      <c r="I18" s="491"/>
    </row>
  </sheetData>
  <mergeCells count="21">
    <mergeCell ref="A8:AE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D16:E16"/>
    <mergeCell ref="P9:V9"/>
    <mergeCell ref="Y9:AC9"/>
    <mergeCell ref="AD9:AD10"/>
    <mergeCell ref="AE9:AE10"/>
    <mergeCell ref="J9:J10"/>
    <mergeCell ref="K9:K10"/>
    <mergeCell ref="L9:L10"/>
    <mergeCell ref="M9:M10"/>
    <mergeCell ref="N9:N10"/>
    <mergeCell ref="O9:O10"/>
  </mergeCells>
  <pageMargins left="0" right="0" top="0.19685039370078741" bottom="0.19685039370078741" header="0" footer="0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AR21"/>
  <sheetViews>
    <sheetView view="pageBreakPreview" zoomScale="90" zoomScaleNormal="76" zoomScaleSheetLayoutView="90" workbookViewId="0">
      <selection activeCell="P5" sqref="P5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8" style="82" customWidth="1"/>
    <col min="6" max="6" width="8.7109375" style="145" customWidth="1"/>
    <col min="7" max="7" width="6.7109375" style="198" customWidth="1"/>
    <col min="8" max="8" width="7.28515625" style="91" customWidth="1"/>
    <col min="9" max="9" width="6.85546875" style="85" customWidth="1"/>
    <col min="10" max="10" width="9.5703125" style="86" customWidth="1"/>
    <col min="11" max="11" width="7.85546875" style="87" customWidth="1"/>
    <col min="12" max="12" width="7.85546875" style="87" hidden="1" customWidth="1"/>
    <col min="13" max="13" width="5.85546875" style="87" customWidth="1"/>
    <col min="14" max="14" width="9.7109375" style="86" customWidth="1"/>
    <col min="15" max="15" width="7.5703125" style="12" customWidth="1"/>
    <col min="16" max="16" width="10" style="86" customWidth="1"/>
    <col min="17" max="17" width="6.42578125" style="12" customWidth="1"/>
    <col min="18" max="18" width="10.5703125" style="86" customWidth="1"/>
    <col min="19" max="19" width="9.5703125" style="87" customWidth="1"/>
    <col min="20" max="20" width="9.42578125" style="86" customWidth="1"/>
    <col min="21" max="21" width="9.140625" style="88" customWidth="1"/>
    <col min="22" max="22" width="9.5703125" style="88" customWidth="1"/>
    <col min="23" max="23" width="6.140625" style="87" customWidth="1"/>
    <col min="24" max="24" width="7.5703125" style="86" customWidth="1"/>
    <col min="25" max="25" width="6.7109375" style="89" customWidth="1"/>
    <col min="26" max="26" width="8.28515625" style="86" customWidth="1"/>
    <col min="27" max="27" width="6" style="87" customWidth="1"/>
    <col min="28" max="28" width="8.28515625" style="86" customWidth="1"/>
    <col min="29" max="29" width="6.140625" style="89" customWidth="1"/>
    <col min="30" max="30" width="8.140625" style="86" customWidth="1"/>
    <col min="31" max="31" width="7.85546875" style="86" customWidth="1"/>
    <col min="32" max="32" width="6.85546875" style="86" customWidth="1"/>
    <col min="33" max="33" width="9.28515625" style="87" customWidth="1"/>
    <col min="34" max="34" width="6" style="90" customWidth="1"/>
    <col min="35" max="35" width="8" style="87" customWidth="1"/>
    <col min="36" max="36" width="6.140625" style="258" customWidth="1"/>
    <col min="37" max="37" width="8" style="87" customWidth="1"/>
    <col min="38" max="38" width="7.85546875" style="87" customWidth="1"/>
    <col min="39" max="39" width="9.140625" style="87" customWidth="1"/>
    <col min="40" max="40" width="8.42578125" style="87" customWidth="1"/>
    <col min="41" max="41" width="9" style="87" customWidth="1"/>
    <col min="42" max="42" width="8.140625" style="87" customWidth="1"/>
    <col min="43" max="43" width="10.140625" style="86" customWidth="1"/>
    <col min="44" max="44" width="9" style="86" customWidth="1"/>
    <col min="45" max="16384" width="9.140625" style="82"/>
  </cols>
  <sheetData>
    <row r="2" spans="1:44" s="7" customFormat="1">
      <c r="A2" s="6"/>
      <c r="B2" s="2"/>
      <c r="C2" s="1"/>
      <c r="D2" s="1"/>
      <c r="E2" s="3"/>
      <c r="F2" s="483"/>
      <c r="G2" s="193"/>
      <c r="H2" s="4"/>
      <c r="I2" s="5"/>
      <c r="J2" s="6"/>
      <c r="P2" s="485" t="s">
        <v>0</v>
      </c>
      <c r="Q2" s="485"/>
      <c r="R2" s="485"/>
      <c r="U2" s="8"/>
      <c r="Z2" s="6"/>
      <c r="AA2" s="478"/>
      <c r="AB2" s="478"/>
      <c r="AC2" s="593"/>
      <c r="AD2" s="593"/>
      <c r="AE2" s="593"/>
      <c r="AH2" s="8"/>
      <c r="AI2" s="8"/>
      <c r="AJ2" s="254"/>
      <c r="AK2" s="6"/>
      <c r="AL2" s="6"/>
      <c r="AM2" s="6"/>
      <c r="AN2" s="6"/>
      <c r="AO2" s="8"/>
      <c r="AP2" s="9"/>
      <c r="AQ2" s="8"/>
      <c r="AR2" s="9"/>
    </row>
    <row r="3" spans="1:44" s="7" customFormat="1">
      <c r="A3" s="6"/>
      <c r="B3" s="2"/>
      <c r="C3" s="1"/>
      <c r="D3" s="1"/>
      <c r="E3" s="3"/>
      <c r="F3" s="483"/>
      <c r="G3" s="193"/>
      <c r="H3" s="4"/>
      <c r="I3" s="5"/>
      <c r="J3" s="6"/>
      <c r="P3" s="494" t="s">
        <v>790</v>
      </c>
      <c r="Q3" s="484"/>
      <c r="R3" s="484"/>
      <c r="S3" s="484"/>
      <c r="T3" s="484"/>
      <c r="U3" s="484"/>
      <c r="Z3" s="6"/>
      <c r="AA3" s="1"/>
      <c r="AB3" s="1"/>
      <c r="AC3" s="584"/>
      <c r="AD3" s="584"/>
      <c r="AE3" s="584"/>
      <c r="AF3" s="584"/>
      <c r="AG3" s="584"/>
      <c r="AH3" s="584"/>
      <c r="AI3" s="584"/>
      <c r="AJ3" s="254"/>
      <c r="AK3" s="6"/>
      <c r="AL3" s="6"/>
      <c r="AM3" s="6"/>
      <c r="AN3" s="6"/>
      <c r="AO3" s="8"/>
      <c r="AP3" s="9"/>
      <c r="AQ3" s="8"/>
      <c r="AR3" s="9"/>
    </row>
    <row r="4" spans="1:44" s="7" customFormat="1">
      <c r="A4" s="6"/>
      <c r="B4" s="2"/>
      <c r="C4" s="1"/>
      <c r="D4" s="1"/>
      <c r="E4" s="3"/>
      <c r="F4" s="483"/>
      <c r="G4" s="193"/>
      <c r="H4" s="4"/>
      <c r="I4" s="5"/>
      <c r="J4" s="6"/>
      <c r="P4" s="495" t="s">
        <v>791</v>
      </c>
      <c r="Q4" s="11"/>
      <c r="R4" s="11"/>
      <c r="S4" s="11"/>
      <c r="U4" s="6"/>
      <c r="Z4" s="9"/>
      <c r="AA4" s="485"/>
      <c r="AB4" s="11"/>
      <c r="AC4" s="485"/>
      <c r="AD4" s="11"/>
      <c r="AE4" s="11"/>
      <c r="AF4" s="11"/>
      <c r="AH4" s="6"/>
      <c r="AJ4" s="254"/>
      <c r="AK4" s="6"/>
      <c r="AL4" s="6"/>
      <c r="AM4" s="6"/>
      <c r="AN4" s="6"/>
      <c r="AO4" s="12"/>
      <c r="AP4" s="9"/>
      <c r="AQ4" s="12"/>
      <c r="AR4" s="9"/>
    </row>
    <row r="5" spans="1:44" s="7" customFormat="1" ht="17.25" customHeight="1">
      <c r="A5" s="6"/>
      <c r="B5" s="2"/>
      <c r="C5" s="1"/>
      <c r="D5" s="1"/>
      <c r="E5" s="3"/>
      <c r="F5" s="483"/>
      <c r="G5" s="193"/>
      <c r="H5" s="4"/>
      <c r="I5" s="5"/>
      <c r="J5" s="6"/>
      <c r="P5" s="495" t="s">
        <v>797</v>
      </c>
      <c r="Q5" s="479"/>
      <c r="R5" s="479"/>
      <c r="S5" s="479"/>
      <c r="T5" s="479"/>
      <c r="U5" s="14"/>
      <c r="Z5" s="13" t="s">
        <v>1</v>
      </c>
      <c r="AA5" s="478"/>
      <c r="AB5" s="478"/>
      <c r="AC5" s="577"/>
      <c r="AD5" s="578"/>
      <c r="AE5" s="578"/>
      <c r="AF5" s="578"/>
      <c r="AG5" s="578"/>
      <c r="AH5" s="14"/>
      <c r="AJ5" s="254"/>
      <c r="AK5" s="6"/>
      <c r="AL5" s="6"/>
      <c r="AM5" s="6"/>
      <c r="AN5" s="6"/>
      <c r="AO5" s="12"/>
      <c r="AP5" s="9"/>
      <c r="AQ5" s="12"/>
      <c r="AR5" s="9"/>
    </row>
    <row r="6" spans="1:44" s="7" customFormat="1">
      <c r="A6" s="6"/>
      <c r="B6" s="2"/>
      <c r="C6" s="1"/>
      <c r="D6" s="1"/>
      <c r="E6" s="3"/>
      <c r="F6" s="483"/>
      <c r="G6" s="193"/>
      <c r="H6" s="4"/>
      <c r="I6" s="5"/>
      <c r="J6" s="6"/>
      <c r="P6" s="420"/>
      <c r="Q6" s="2"/>
      <c r="R6" s="2"/>
      <c r="S6" s="2"/>
      <c r="T6" s="15"/>
      <c r="U6" s="15"/>
      <c r="Z6" s="9"/>
      <c r="AA6" s="478"/>
      <c r="AB6" s="2"/>
      <c r="AC6" s="478"/>
      <c r="AD6" s="2"/>
      <c r="AE6" s="2"/>
      <c r="AF6" s="2"/>
      <c r="AG6" s="15"/>
      <c r="AH6" s="15"/>
      <c r="AJ6" s="254"/>
      <c r="AK6" s="6"/>
      <c r="AL6" s="6"/>
      <c r="AM6" s="6"/>
      <c r="AN6" s="6"/>
      <c r="AO6" s="12"/>
      <c r="AP6" s="9"/>
      <c r="AQ6" s="12"/>
      <c r="AR6" s="9"/>
    </row>
    <row r="7" spans="1:44" s="7" customFormat="1" ht="17.25" customHeight="1">
      <c r="A7" s="6"/>
      <c r="F7" s="141"/>
      <c r="G7" s="196"/>
      <c r="H7" s="3"/>
      <c r="I7" s="6"/>
      <c r="J7" s="6"/>
      <c r="K7" s="9"/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8"/>
      <c r="AI7" s="8"/>
      <c r="AJ7" s="257"/>
      <c r="AK7" s="8"/>
      <c r="AL7" s="8"/>
      <c r="AM7" s="8"/>
      <c r="AN7" s="8"/>
      <c r="AO7" s="8"/>
      <c r="AP7" s="8"/>
      <c r="AQ7" s="35"/>
      <c r="AR7" s="32"/>
    </row>
    <row r="8" spans="1:44" s="9" customFormat="1" ht="35.25" customHeight="1">
      <c r="A8" s="583" t="s">
        <v>855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584"/>
      <c r="AN8" s="584"/>
      <c r="AO8" s="584"/>
      <c r="AP8" s="584"/>
      <c r="AQ8" s="584"/>
      <c r="AR8" s="584"/>
    </row>
    <row r="9" spans="1:44" s="7" customFormat="1" ht="14.25" customHeight="1">
      <c r="A9" s="42"/>
      <c r="B9" s="43"/>
      <c r="C9" s="43"/>
      <c r="D9" s="42"/>
      <c r="E9" s="42"/>
      <c r="F9" s="142"/>
      <c r="G9" s="197"/>
      <c r="H9" s="44"/>
      <c r="I9" s="42"/>
      <c r="J9" s="45"/>
      <c r="K9" s="46"/>
      <c r="L9" s="46"/>
      <c r="M9" s="46"/>
      <c r="N9" s="45"/>
      <c r="O9" s="46"/>
      <c r="P9" s="47"/>
      <c r="Q9" s="46"/>
      <c r="R9" s="47"/>
      <c r="S9" s="46"/>
      <c r="T9" s="45"/>
      <c r="U9" s="46"/>
      <c r="V9" s="46"/>
      <c r="W9" s="46"/>
      <c r="X9" s="45"/>
      <c r="Y9" s="48"/>
      <c r="Z9" s="45"/>
      <c r="AA9" s="46"/>
      <c r="AB9" s="45"/>
      <c r="AC9" s="48"/>
      <c r="AD9" s="45"/>
      <c r="AE9" s="45"/>
      <c r="AF9" s="45"/>
      <c r="AG9" s="46"/>
      <c r="AH9" s="46"/>
      <c r="AI9" s="46"/>
      <c r="AJ9" s="585"/>
      <c r="AK9" s="585"/>
      <c r="AL9" s="585"/>
      <c r="AM9" s="585"/>
      <c r="AN9" s="585"/>
      <c r="AO9" s="585"/>
      <c r="AP9" s="585"/>
      <c r="AQ9" s="585"/>
      <c r="AR9" s="32"/>
    </row>
    <row r="10" spans="1:44" s="49" customFormat="1" ht="18.75" customHeight="1">
      <c r="A10" s="582" t="s">
        <v>10</v>
      </c>
      <c r="B10" s="582" t="s">
        <v>11</v>
      </c>
      <c r="C10" s="582" t="s">
        <v>12</v>
      </c>
      <c r="D10" s="580" t="s">
        <v>13</v>
      </c>
      <c r="E10" s="580" t="s">
        <v>14</v>
      </c>
      <c r="F10" s="589" t="s">
        <v>182</v>
      </c>
      <c r="G10" s="580" t="s">
        <v>15</v>
      </c>
      <c r="H10" s="547" t="s">
        <v>16</v>
      </c>
      <c r="I10" s="580" t="s">
        <v>17</v>
      </c>
      <c r="J10" s="547" t="s">
        <v>18</v>
      </c>
      <c r="K10" s="580" t="s">
        <v>19</v>
      </c>
      <c r="L10" s="481"/>
      <c r="M10" s="594" t="s">
        <v>20</v>
      </c>
      <c r="N10" s="594"/>
      <c r="O10" s="594"/>
      <c r="P10" s="594"/>
      <c r="Q10" s="594"/>
      <c r="R10" s="594"/>
      <c r="S10" s="588" t="s">
        <v>21</v>
      </c>
      <c r="T10" s="586" t="s">
        <v>22</v>
      </c>
      <c r="U10" s="581">
        <v>0.1</v>
      </c>
      <c r="V10" s="581">
        <v>0.2</v>
      </c>
      <c r="W10" s="582" t="s">
        <v>23</v>
      </c>
      <c r="X10" s="582"/>
      <c r="Y10" s="582"/>
      <c r="Z10" s="582"/>
      <c r="AA10" s="580" t="s">
        <v>24</v>
      </c>
      <c r="AB10" s="580"/>
      <c r="AC10" s="580"/>
      <c r="AD10" s="580"/>
      <c r="AE10" s="586" t="s">
        <v>25</v>
      </c>
      <c r="AF10" s="586" t="s">
        <v>26</v>
      </c>
      <c r="AG10" s="587" t="s">
        <v>27</v>
      </c>
      <c r="AH10" s="580" t="s">
        <v>28</v>
      </c>
      <c r="AI10" s="580"/>
      <c r="AJ10" s="580" t="s">
        <v>29</v>
      </c>
      <c r="AK10" s="580"/>
      <c r="AL10" s="579" t="s">
        <v>30</v>
      </c>
      <c r="AM10" s="579" t="s">
        <v>31</v>
      </c>
      <c r="AN10" s="579"/>
      <c r="AO10" s="579"/>
      <c r="AP10" s="579"/>
      <c r="AQ10" s="547" t="s">
        <v>32</v>
      </c>
      <c r="AR10" s="547" t="s">
        <v>33</v>
      </c>
    </row>
    <row r="11" spans="1:44" s="49" customFormat="1" ht="42" customHeight="1">
      <c r="A11" s="582"/>
      <c r="B11" s="582"/>
      <c r="C11" s="582"/>
      <c r="D11" s="580"/>
      <c r="E11" s="580"/>
      <c r="F11" s="589"/>
      <c r="G11" s="580"/>
      <c r="H11" s="547"/>
      <c r="I11" s="580"/>
      <c r="J11" s="547"/>
      <c r="K11" s="580"/>
      <c r="L11" s="481"/>
      <c r="M11" s="594"/>
      <c r="N11" s="594"/>
      <c r="O11" s="594"/>
      <c r="P11" s="594"/>
      <c r="Q11" s="594"/>
      <c r="R11" s="594"/>
      <c r="S11" s="588"/>
      <c r="T11" s="586"/>
      <c r="U11" s="581"/>
      <c r="V11" s="581"/>
      <c r="W11" s="590" t="s">
        <v>34</v>
      </c>
      <c r="X11" s="591"/>
      <c r="Y11" s="590" t="s">
        <v>35</v>
      </c>
      <c r="Z11" s="591"/>
      <c r="AA11" s="580"/>
      <c r="AB11" s="580"/>
      <c r="AC11" s="580"/>
      <c r="AD11" s="580"/>
      <c r="AE11" s="586"/>
      <c r="AF11" s="586"/>
      <c r="AG11" s="587"/>
      <c r="AH11" s="580"/>
      <c r="AI11" s="580"/>
      <c r="AJ11" s="580"/>
      <c r="AK11" s="580"/>
      <c r="AL11" s="579"/>
      <c r="AM11" s="586" t="s">
        <v>504</v>
      </c>
      <c r="AN11" s="586" t="s">
        <v>37</v>
      </c>
      <c r="AO11" s="586" t="s">
        <v>38</v>
      </c>
      <c r="AP11" s="586" t="s">
        <v>39</v>
      </c>
      <c r="AQ11" s="547"/>
      <c r="AR11" s="547"/>
    </row>
    <row r="12" spans="1:44" s="49" customFormat="1" ht="93" customHeight="1">
      <c r="A12" s="582"/>
      <c r="B12" s="582"/>
      <c r="C12" s="582"/>
      <c r="D12" s="580"/>
      <c r="E12" s="580"/>
      <c r="F12" s="589"/>
      <c r="G12" s="580"/>
      <c r="H12" s="547"/>
      <c r="I12" s="580"/>
      <c r="J12" s="547"/>
      <c r="K12" s="580"/>
      <c r="L12" s="481"/>
      <c r="M12" s="481" t="s">
        <v>40</v>
      </c>
      <c r="N12" s="475" t="s">
        <v>41</v>
      </c>
      <c r="O12" s="481" t="s">
        <v>42</v>
      </c>
      <c r="P12" s="475" t="s">
        <v>41</v>
      </c>
      <c r="Q12" s="481" t="s">
        <v>43</v>
      </c>
      <c r="R12" s="475" t="s">
        <v>41</v>
      </c>
      <c r="S12" s="588"/>
      <c r="T12" s="586"/>
      <c r="U12" s="582"/>
      <c r="V12" s="582"/>
      <c r="W12" s="482">
        <v>0.5</v>
      </c>
      <c r="X12" s="50" t="s">
        <v>41</v>
      </c>
      <c r="Y12" s="482">
        <v>0.6</v>
      </c>
      <c r="Z12" s="50" t="s">
        <v>41</v>
      </c>
      <c r="AA12" s="480" t="s">
        <v>44</v>
      </c>
      <c r="AB12" s="50" t="s">
        <v>41</v>
      </c>
      <c r="AC12" s="480" t="s">
        <v>505</v>
      </c>
      <c r="AD12" s="50" t="s">
        <v>41</v>
      </c>
      <c r="AE12" s="586"/>
      <c r="AF12" s="586"/>
      <c r="AG12" s="588"/>
      <c r="AH12" s="481" t="s">
        <v>45</v>
      </c>
      <c r="AI12" s="50" t="s">
        <v>41</v>
      </c>
      <c r="AJ12" s="481" t="s">
        <v>46</v>
      </c>
      <c r="AK12" s="50" t="s">
        <v>41</v>
      </c>
      <c r="AL12" s="579"/>
      <c r="AM12" s="586"/>
      <c r="AN12" s="586"/>
      <c r="AO12" s="586"/>
      <c r="AP12" s="586"/>
      <c r="AQ12" s="547"/>
      <c r="AR12" s="547"/>
    </row>
    <row r="13" spans="1:44" s="7" customFormat="1" ht="12.75">
      <c r="A13" s="51">
        <v>1</v>
      </c>
      <c r="B13" s="52">
        <v>2</v>
      </c>
      <c r="C13" s="52">
        <v>3</v>
      </c>
      <c r="D13" s="51">
        <v>4</v>
      </c>
      <c r="E13" s="52">
        <v>5</v>
      </c>
      <c r="F13" s="143">
        <v>6</v>
      </c>
      <c r="G13" s="51">
        <v>7</v>
      </c>
      <c r="H13" s="52">
        <v>8</v>
      </c>
      <c r="I13" s="52">
        <v>9</v>
      </c>
      <c r="J13" s="51">
        <v>10</v>
      </c>
      <c r="K13" s="52">
        <v>11</v>
      </c>
      <c r="L13" s="52"/>
      <c r="M13" s="52">
        <v>12</v>
      </c>
      <c r="N13" s="51">
        <v>13</v>
      </c>
      <c r="O13" s="52">
        <v>14</v>
      </c>
      <c r="P13" s="52">
        <v>15</v>
      </c>
      <c r="Q13" s="51">
        <v>16</v>
      </c>
      <c r="R13" s="52">
        <v>17</v>
      </c>
      <c r="S13" s="52">
        <v>18</v>
      </c>
      <c r="T13" s="51">
        <v>19</v>
      </c>
      <c r="U13" s="52">
        <v>20</v>
      </c>
      <c r="V13" s="52">
        <v>20</v>
      </c>
      <c r="W13" s="52">
        <v>21</v>
      </c>
      <c r="X13" s="51">
        <v>22</v>
      </c>
      <c r="Y13" s="52">
        <v>23</v>
      </c>
      <c r="Z13" s="52">
        <v>24</v>
      </c>
      <c r="AA13" s="51">
        <v>25</v>
      </c>
      <c r="AB13" s="52">
        <v>26</v>
      </c>
      <c r="AC13" s="52">
        <v>27</v>
      </c>
      <c r="AD13" s="51">
        <v>28</v>
      </c>
      <c r="AE13" s="52">
        <v>29</v>
      </c>
      <c r="AF13" s="52">
        <v>30</v>
      </c>
      <c r="AG13" s="51">
        <v>31</v>
      </c>
      <c r="AH13" s="52">
        <v>32</v>
      </c>
      <c r="AI13" s="52">
        <v>33</v>
      </c>
      <c r="AJ13" s="52">
        <v>32</v>
      </c>
      <c r="AK13" s="52">
        <v>33</v>
      </c>
      <c r="AL13" s="51">
        <v>34</v>
      </c>
      <c r="AM13" s="52">
        <v>35</v>
      </c>
      <c r="AN13" s="52">
        <v>36</v>
      </c>
      <c r="AO13" s="51">
        <v>37</v>
      </c>
      <c r="AP13" s="52">
        <v>38</v>
      </c>
      <c r="AQ13" s="52">
        <v>39</v>
      </c>
      <c r="AR13" s="51">
        <v>40</v>
      </c>
    </row>
    <row r="14" spans="1:44" s="105" customFormat="1" ht="12.75">
      <c r="A14" s="242">
        <v>1</v>
      </c>
      <c r="B14" s="433" t="s">
        <v>194</v>
      </c>
      <c r="C14" s="234" t="s">
        <v>100</v>
      </c>
      <c r="D14" s="235" t="s">
        <v>50</v>
      </c>
      <c r="E14" s="236" t="s">
        <v>51</v>
      </c>
      <c r="F14" s="107">
        <v>34.01</v>
      </c>
      <c r="G14" s="96">
        <v>5.41</v>
      </c>
      <c r="H14" s="66">
        <v>17697</v>
      </c>
      <c r="I14" s="200">
        <v>2</v>
      </c>
      <c r="J14" s="66">
        <f>H14*G14*I14</f>
        <v>191481.54</v>
      </c>
      <c r="K14" s="200">
        <f>(M14+O14+Q14)/16</f>
        <v>0.5</v>
      </c>
      <c r="L14" s="200">
        <f>M14+O14+Q14</f>
        <v>8</v>
      </c>
      <c r="M14" s="51"/>
      <c r="N14" s="66">
        <f>J14/16*M14</f>
        <v>0</v>
      </c>
      <c r="O14" s="202">
        <v>8</v>
      </c>
      <c r="P14" s="66">
        <f>J14/16*O14</f>
        <v>95740.77</v>
      </c>
      <c r="Q14" s="405"/>
      <c r="R14" s="66">
        <f>J14/16*Q14</f>
        <v>0</v>
      </c>
      <c r="S14" s="201">
        <f>(N14+P14+R14)*25%</f>
        <v>23935.192500000001</v>
      </c>
      <c r="T14" s="66">
        <f>N14+P14+R14+S14</f>
        <v>119675.96250000001</v>
      </c>
      <c r="U14" s="66">
        <f>T14*10%</f>
        <v>11967.596250000002</v>
      </c>
      <c r="V14" s="66">
        <f>T14*20%</f>
        <v>23935.192500000005</v>
      </c>
      <c r="W14" s="237"/>
      <c r="X14" s="66">
        <f t="shared" ref="X14" si="0">(H14*W14)*50%</f>
        <v>0</v>
      </c>
      <c r="Y14" s="237"/>
      <c r="Z14" s="66">
        <f t="shared" ref="Z14" si="1">H14*Y14*60%</f>
        <v>0</v>
      </c>
      <c r="AA14" s="202">
        <v>8</v>
      </c>
      <c r="AB14" s="66">
        <f t="shared" ref="AB14" si="2">((H14*40%/16*AA14))</f>
        <v>3539.4</v>
      </c>
      <c r="AC14" s="202"/>
      <c r="AD14" s="66">
        <f>((H14*50%/16*AC14))</f>
        <v>0</v>
      </c>
      <c r="AE14" s="202"/>
      <c r="AF14" s="202"/>
      <c r="AG14" s="66">
        <f>T14*30%</f>
        <v>35902.78875</v>
      </c>
      <c r="AH14" s="202"/>
      <c r="AI14" s="66">
        <f t="shared" ref="AI14" si="3">((H14*20%/16*AH14))</f>
        <v>0</v>
      </c>
      <c r="AJ14" s="67"/>
      <c r="AK14" s="66">
        <f t="shared" ref="AK14" si="4">((H14*40%/16*AJ14))</f>
        <v>0</v>
      </c>
      <c r="AL14" s="202"/>
      <c r="AM14" s="202"/>
      <c r="AN14" s="202"/>
      <c r="AO14" s="202">
        <f>T14*40%</f>
        <v>47870.385000000009</v>
      </c>
      <c r="AP14" s="202"/>
      <c r="AQ14" s="66">
        <f>SUM(T14:AP14)</f>
        <v>242899.32500000004</v>
      </c>
      <c r="AR14" s="66">
        <f>AQ14*12/1000</f>
        <v>2914.7919000000002</v>
      </c>
    </row>
    <row r="15" spans="1:44" s="76" customFormat="1" ht="15" customHeight="1">
      <c r="A15" s="259"/>
      <c r="B15" s="70"/>
      <c r="C15" s="70"/>
      <c r="D15" s="70"/>
      <c r="E15" s="70"/>
      <c r="F15" s="71"/>
      <c r="G15" s="72"/>
      <c r="H15" s="73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</row>
    <row r="16" spans="1:44">
      <c r="A16" s="82"/>
      <c r="H16" s="84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</row>
    <row r="17" spans="1:44">
      <c r="A17" s="82"/>
      <c r="H17" s="84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</row>
    <row r="18" spans="1:44">
      <c r="A18" s="82"/>
      <c r="H18" s="84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</row>
    <row r="19" spans="1:44" ht="22.5" customHeight="1">
      <c r="A19" s="82"/>
      <c r="B19" s="575" t="s">
        <v>507</v>
      </c>
      <c r="C19" s="575"/>
      <c r="D19" s="575"/>
      <c r="E19" s="575"/>
      <c r="F19" s="575"/>
      <c r="I19" s="592" t="s">
        <v>381</v>
      </c>
      <c r="J19" s="592"/>
      <c r="K19" s="592"/>
      <c r="L19" s="592"/>
      <c r="M19" s="592"/>
      <c r="N19" s="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</row>
    <row r="20" spans="1:44">
      <c r="A20" s="82"/>
      <c r="B20" s="187"/>
      <c r="C20" s="43"/>
      <c r="F20" s="82"/>
      <c r="K20" s="186"/>
      <c r="L20" s="186"/>
      <c r="M20" s="2"/>
      <c r="N20" s="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</row>
    <row r="21" spans="1:44" ht="25.5" customHeight="1">
      <c r="A21" s="82"/>
      <c r="B21" s="576"/>
      <c r="C21" s="576"/>
      <c r="D21" s="576"/>
      <c r="E21" s="576"/>
      <c r="F21" s="576"/>
      <c r="G21" s="576"/>
      <c r="K21" s="573"/>
      <c r="L21" s="573"/>
      <c r="M21" s="573"/>
      <c r="N21" s="573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</row>
  </sheetData>
  <mergeCells count="42">
    <mergeCell ref="A10:A12"/>
    <mergeCell ref="B10:B12"/>
    <mergeCell ref="C10:C12"/>
    <mergeCell ref="D10:D12"/>
    <mergeCell ref="E10:E12"/>
    <mergeCell ref="AC2:AE2"/>
    <mergeCell ref="AC3:AI3"/>
    <mergeCell ref="AC5:AG5"/>
    <mergeCell ref="A8:AR8"/>
    <mergeCell ref="AJ9:AQ9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B19:F19"/>
    <mergeCell ref="I19:M19"/>
    <mergeCell ref="B21:G21"/>
    <mergeCell ref="K21:N21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AK19"/>
  <sheetViews>
    <sheetView zoomScaleSheetLayoutView="90" workbookViewId="0">
      <selection sqref="A1:AE17"/>
    </sheetView>
  </sheetViews>
  <sheetFormatPr defaultColWidth="6.140625" defaultRowHeight="12.75"/>
  <cols>
    <col min="1" max="1" width="4.140625" style="77" customWidth="1"/>
    <col min="2" max="2" width="21.28515625" style="293" customWidth="1"/>
    <col min="3" max="3" width="33.5703125" style="330" customWidth="1"/>
    <col min="4" max="4" width="9.28515625" style="294" customWidth="1"/>
    <col min="5" max="5" width="6.28515625" style="77" customWidth="1"/>
    <col min="6" max="6" width="5.7109375" style="77" customWidth="1"/>
    <col min="7" max="7" width="5.85546875" style="77" customWidth="1"/>
    <col min="8" max="8" width="5.5703125" style="77" customWidth="1"/>
    <col min="9" max="9" width="7.140625" style="296" customWidth="1"/>
    <col min="10" max="10" width="5" style="77" customWidth="1"/>
    <col min="11" max="11" width="9.85546875" style="296" customWidth="1"/>
    <col min="12" max="12" width="9.42578125" style="296" customWidth="1"/>
    <col min="13" max="13" width="10" style="296" customWidth="1"/>
    <col min="14" max="14" width="5.28515625" style="296" customWidth="1"/>
    <col min="15" max="15" width="10" style="296" customWidth="1"/>
    <col min="16" max="16" width="8.42578125" style="296" customWidth="1"/>
    <col min="17" max="17" width="7.85546875" style="296" customWidth="1"/>
    <col min="18" max="18" width="7.5703125" style="296" customWidth="1"/>
    <col min="19" max="19" width="7.28515625" style="296" customWidth="1"/>
    <col min="20" max="20" width="6.140625" style="296" customWidth="1"/>
    <col min="21" max="21" width="7.5703125" style="296" customWidth="1"/>
    <col min="22" max="22" width="6.42578125" style="296" customWidth="1"/>
    <col min="23" max="23" width="6.5703125" style="296" customWidth="1"/>
    <col min="24" max="24" width="5.42578125" style="296" customWidth="1"/>
    <col min="25" max="25" width="7.28515625" style="296" customWidth="1"/>
    <col min="26" max="26" width="8.7109375" style="296" customWidth="1"/>
    <col min="27" max="27" width="7.140625" style="296" customWidth="1"/>
    <col min="28" max="28" width="4.42578125" style="296" customWidth="1"/>
    <col min="29" max="29" width="8" style="296" customWidth="1"/>
    <col min="30" max="30" width="9.42578125" style="296" customWidth="1"/>
    <col min="31" max="31" width="9.28515625" style="296" customWidth="1"/>
    <col min="32" max="16384" width="6.140625" style="77"/>
  </cols>
  <sheetData>
    <row r="2" spans="1:37" ht="14.25" customHeight="1">
      <c r="B2" s="92"/>
      <c r="C2" s="293"/>
      <c r="E2" s="295"/>
      <c r="F2" s="296"/>
      <c r="I2" s="77"/>
      <c r="Y2" s="298" t="s">
        <v>0</v>
      </c>
      <c r="Z2" s="299"/>
      <c r="AA2" s="299"/>
      <c r="AB2" s="299"/>
      <c r="AF2" s="298"/>
      <c r="AG2" s="299"/>
      <c r="AH2" s="299"/>
      <c r="AI2" s="299"/>
      <c r="AJ2" s="296"/>
      <c r="AK2" s="296"/>
    </row>
    <row r="3" spans="1:37" ht="14.25" customHeight="1">
      <c r="B3" s="92"/>
      <c r="C3" s="293"/>
      <c r="E3" s="295"/>
      <c r="F3" s="296"/>
      <c r="I3" s="77"/>
      <c r="S3" s="492"/>
      <c r="T3" s="492"/>
      <c r="U3" s="492"/>
      <c r="V3" s="492"/>
      <c r="W3" s="492"/>
      <c r="X3" s="492"/>
      <c r="Y3" s="470" t="s">
        <v>849</v>
      </c>
      <c r="Z3" s="493"/>
      <c r="AA3" s="299"/>
      <c r="AB3" s="299"/>
      <c r="AF3" s="300"/>
      <c r="AG3" s="299"/>
      <c r="AH3" s="299"/>
      <c r="AI3" s="299"/>
      <c r="AJ3" s="296"/>
      <c r="AK3" s="296"/>
    </row>
    <row r="4" spans="1:37" ht="14.25" customHeight="1">
      <c r="B4" s="92"/>
      <c r="C4" s="293"/>
      <c r="E4" s="295"/>
      <c r="F4" s="296"/>
      <c r="I4" s="77"/>
      <c r="Y4" s="471" t="s">
        <v>850</v>
      </c>
      <c r="Z4" s="204"/>
      <c r="AA4" s="204"/>
      <c r="AB4" s="204"/>
      <c r="AF4" s="298"/>
      <c r="AG4" s="204"/>
      <c r="AH4" s="204"/>
      <c r="AI4" s="204"/>
      <c r="AJ4" s="296"/>
      <c r="AK4" s="296"/>
    </row>
    <row r="5" spans="1:37" ht="18" customHeight="1">
      <c r="B5" s="92"/>
      <c r="C5" s="293"/>
      <c r="E5" s="295"/>
      <c r="F5" s="296"/>
      <c r="I5" s="77"/>
      <c r="Y5" s="298" t="s">
        <v>837</v>
      </c>
      <c r="Z5" s="204"/>
      <c r="AA5" s="204"/>
      <c r="AB5" s="204"/>
      <c r="AF5" s="298"/>
      <c r="AG5" s="204"/>
      <c r="AH5" s="204"/>
      <c r="AI5" s="204"/>
      <c r="AJ5" s="296"/>
      <c r="AK5" s="296"/>
    </row>
    <row r="6" spans="1:37" ht="14.25" customHeight="1">
      <c r="B6" s="92"/>
      <c r="C6" s="293"/>
      <c r="E6" s="295"/>
      <c r="F6" s="296"/>
      <c r="I6" s="77"/>
      <c r="Z6" s="93"/>
    </row>
    <row r="7" spans="1:37" ht="13.5" customHeight="1">
      <c r="B7" s="92"/>
      <c r="C7" s="293"/>
      <c r="E7" s="295"/>
      <c r="F7" s="296"/>
      <c r="I7" s="77"/>
      <c r="Z7" s="93"/>
    </row>
    <row r="8" spans="1:37" ht="39.6" customHeight="1">
      <c r="A8" s="572"/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</row>
    <row r="9" spans="1:37" s="94" customFormat="1" ht="28.5" customHeight="1">
      <c r="A9" s="559" t="s">
        <v>10</v>
      </c>
      <c r="B9" s="559" t="s">
        <v>180</v>
      </c>
      <c r="C9" s="559" t="s">
        <v>179</v>
      </c>
      <c r="D9" s="559" t="s">
        <v>181</v>
      </c>
      <c r="E9" s="559" t="s">
        <v>384</v>
      </c>
      <c r="F9" s="559" t="s">
        <v>14</v>
      </c>
      <c r="G9" s="559" t="s">
        <v>182</v>
      </c>
      <c r="H9" s="559" t="s">
        <v>183</v>
      </c>
      <c r="I9" s="557" t="s">
        <v>16</v>
      </c>
      <c r="J9" s="559" t="s">
        <v>184</v>
      </c>
      <c r="K9" s="557" t="s">
        <v>185</v>
      </c>
      <c r="L9" s="557" t="s">
        <v>186</v>
      </c>
      <c r="M9" s="557" t="s">
        <v>22</v>
      </c>
      <c r="N9" s="568" t="s">
        <v>841</v>
      </c>
      <c r="O9" s="570" t="s">
        <v>22</v>
      </c>
      <c r="P9" s="564" t="s">
        <v>31</v>
      </c>
      <c r="Q9" s="565"/>
      <c r="R9" s="565"/>
      <c r="S9" s="565"/>
      <c r="T9" s="565"/>
      <c r="U9" s="565"/>
      <c r="V9" s="565"/>
      <c r="W9" s="477"/>
      <c r="X9" s="477"/>
      <c r="Y9" s="547" t="s">
        <v>31</v>
      </c>
      <c r="Z9" s="547"/>
      <c r="AA9" s="547"/>
      <c r="AB9" s="547"/>
      <c r="AC9" s="547"/>
      <c r="AD9" s="557" t="s">
        <v>32</v>
      </c>
      <c r="AE9" s="557" t="s">
        <v>33</v>
      </c>
    </row>
    <row r="10" spans="1:37" s="94" customFormat="1" ht="129" customHeight="1">
      <c r="A10" s="560"/>
      <c r="B10" s="560"/>
      <c r="C10" s="560"/>
      <c r="D10" s="560"/>
      <c r="E10" s="560"/>
      <c r="F10" s="560"/>
      <c r="G10" s="560"/>
      <c r="H10" s="560"/>
      <c r="I10" s="558"/>
      <c r="J10" s="560"/>
      <c r="K10" s="558"/>
      <c r="L10" s="558"/>
      <c r="M10" s="558"/>
      <c r="N10" s="569"/>
      <c r="O10" s="571"/>
      <c r="P10" s="480">
        <v>0.1</v>
      </c>
      <c r="Q10" s="480" t="s">
        <v>187</v>
      </c>
      <c r="R10" s="475" t="s">
        <v>188</v>
      </c>
      <c r="S10" s="475" t="s">
        <v>803</v>
      </c>
      <c r="T10" s="475" t="s">
        <v>189</v>
      </c>
      <c r="U10" s="475" t="s">
        <v>190</v>
      </c>
      <c r="V10" s="475" t="s">
        <v>191</v>
      </c>
      <c r="W10" s="476" t="s">
        <v>442</v>
      </c>
      <c r="X10" s="476" t="s">
        <v>443</v>
      </c>
      <c r="Y10" s="476" t="s">
        <v>36</v>
      </c>
      <c r="Z10" s="476" t="s">
        <v>37</v>
      </c>
      <c r="AA10" s="476" t="s">
        <v>38</v>
      </c>
      <c r="AB10" s="476" t="s">
        <v>39</v>
      </c>
      <c r="AC10" s="476" t="s">
        <v>192</v>
      </c>
      <c r="AD10" s="558"/>
      <c r="AE10" s="558"/>
    </row>
    <row r="11" spans="1:37" s="105" customFormat="1" ht="12.75" customHeight="1">
      <c r="A11" s="95">
        <v>1</v>
      </c>
      <c r="B11" s="95">
        <v>3</v>
      </c>
      <c r="C11" s="95">
        <v>2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/>
      <c r="O11" s="95"/>
      <c r="P11" s="95">
        <v>14</v>
      </c>
      <c r="Q11" s="95">
        <v>15</v>
      </c>
      <c r="R11" s="95">
        <v>16</v>
      </c>
      <c r="S11" s="95">
        <v>17</v>
      </c>
      <c r="T11" s="95">
        <v>18</v>
      </c>
      <c r="U11" s="95">
        <v>19</v>
      </c>
      <c r="V11" s="95">
        <v>20</v>
      </c>
      <c r="W11" s="95">
        <v>21</v>
      </c>
      <c r="X11" s="95">
        <v>22</v>
      </c>
      <c r="Y11" s="95">
        <v>23</v>
      </c>
      <c r="Z11" s="95">
        <v>24</v>
      </c>
      <c r="AA11" s="95">
        <v>25</v>
      </c>
      <c r="AB11" s="95">
        <v>26</v>
      </c>
      <c r="AC11" s="95">
        <v>27</v>
      </c>
      <c r="AD11" s="95">
        <v>28</v>
      </c>
      <c r="AE11" s="95">
        <v>29</v>
      </c>
    </row>
    <row r="12" spans="1:37" s="105" customFormat="1" ht="14.25" customHeight="1" thickBot="1">
      <c r="A12" s="95">
        <v>1</v>
      </c>
      <c r="B12" s="101" t="s">
        <v>856</v>
      </c>
      <c r="C12" s="302" t="s">
        <v>193</v>
      </c>
      <c r="D12" s="63" t="s">
        <v>50</v>
      </c>
      <c r="E12" s="303">
        <v>1</v>
      </c>
      <c r="F12" s="304" t="s">
        <v>195</v>
      </c>
      <c r="G12" s="315">
        <v>34.01</v>
      </c>
      <c r="H12" s="110">
        <v>6.22</v>
      </c>
      <c r="I12" s="68">
        <v>17697</v>
      </c>
      <c r="J12" s="96">
        <v>2</v>
      </c>
      <c r="K12" s="68">
        <f>I12*E12*H12*J12</f>
        <v>220150.68</v>
      </c>
      <c r="L12" s="68">
        <f>K12*25%</f>
        <v>55037.67</v>
      </c>
      <c r="M12" s="68">
        <f>K12+L12</f>
        <v>275188.34999999998</v>
      </c>
      <c r="N12" s="68"/>
      <c r="O12" s="68">
        <f>M12</f>
        <v>275188.34999999998</v>
      </c>
      <c r="P12" s="68">
        <f>O12*10%</f>
        <v>27518.834999999999</v>
      </c>
      <c r="Q12" s="68">
        <f>O12*20%</f>
        <v>55037.67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109">
        <f>SUM(O12:AC12)</f>
        <v>357744.85499999998</v>
      </c>
      <c r="AE12" s="109">
        <f>(AD12*12)/1000</f>
        <v>4292.9382599999999</v>
      </c>
    </row>
    <row r="13" spans="1:37" ht="13.5" thickBot="1">
      <c r="A13" s="364"/>
      <c r="B13" s="489"/>
      <c r="C13" s="376"/>
      <c r="D13" s="490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</row>
    <row r="16" spans="1:37" ht="51" customHeight="1">
      <c r="B16" s="487" t="s">
        <v>196</v>
      </c>
      <c r="C16" s="92"/>
      <c r="D16" s="545" t="s">
        <v>381</v>
      </c>
      <c r="E16" s="542"/>
      <c r="F16" s="204"/>
      <c r="G16" s="204"/>
      <c r="H16" s="204"/>
      <c r="I16" s="491"/>
    </row>
    <row r="17" spans="2:9" ht="15.75">
      <c r="B17" s="329"/>
      <c r="C17" s="92"/>
      <c r="D17" s="328"/>
      <c r="E17" s="204"/>
      <c r="F17" s="204"/>
      <c r="G17" s="204"/>
      <c r="H17" s="204"/>
      <c r="I17" s="491"/>
    </row>
    <row r="18" spans="2:9" ht="15.75">
      <c r="B18" s="329"/>
      <c r="C18" s="92"/>
      <c r="D18" s="328"/>
      <c r="E18" s="204"/>
      <c r="F18" s="204"/>
      <c r="G18" s="204"/>
      <c r="H18" s="204"/>
      <c r="I18" s="491"/>
    </row>
    <row r="19" spans="2:9" ht="15.75">
      <c r="B19" s="329"/>
      <c r="C19" s="92"/>
      <c r="D19" s="328"/>
      <c r="E19" s="204"/>
      <c r="F19" s="204"/>
      <c r="G19" s="204"/>
      <c r="H19" s="204"/>
      <c r="I19" s="491"/>
    </row>
  </sheetData>
  <mergeCells count="21">
    <mergeCell ref="A8:AE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D16:E16"/>
    <mergeCell ref="P9:V9"/>
    <mergeCell ref="Y9:AC9"/>
    <mergeCell ref="AD9:AD10"/>
    <mergeCell ref="AE9:AE10"/>
    <mergeCell ref="J9:J10"/>
    <mergeCell ref="K9:K10"/>
    <mergeCell ref="L9:L10"/>
    <mergeCell ref="M9:M10"/>
    <mergeCell ref="N9:N10"/>
    <mergeCell ref="O9:O10"/>
  </mergeCells>
  <pageMargins left="0" right="0" top="0.19685039370078741" bottom="0.19685039370078741" header="0" footer="0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AR22"/>
  <sheetViews>
    <sheetView view="pageBreakPreview" zoomScale="90" zoomScaleNormal="76" zoomScaleSheetLayoutView="90" workbookViewId="0">
      <selection activeCell="Q15" sqref="Q15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8" style="82" customWidth="1"/>
    <col min="6" max="6" width="8.7109375" style="145" customWidth="1"/>
    <col min="7" max="7" width="6.7109375" style="198" customWidth="1"/>
    <col min="8" max="8" width="7.28515625" style="91" customWidth="1"/>
    <col min="9" max="9" width="6.85546875" style="85" customWidth="1"/>
    <col min="10" max="10" width="9.5703125" style="86" customWidth="1"/>
    <col min="11" max="11" width="7.85546875" style="87" customWidth="1"/>
    <col min="12" max="12" width="7.85546875" style="87" hidden="1" customWidth="1"/>
    <col min="13" max="13" width="5.85546875" style="87" customWidth="1"/>
    <col min="14" max="14" width="9.7109375" style="86" customWidth="1"/>
    <col min="15" max="15" width="7.5703125" style="12" customWidth="1"/>
    <col min="16" max="16" width="10" style="86" customWidth="1"/>
    <col min="17" max="17" width="6.42578125" style="12" customWidth="1"/>
    <col min="18" max="18" width="10.5703125" style="86" customWidth="1"/>
    <col min="19" max="19" width="9.5703125" style="87" customWidth="1"/>
    <col min="20" max="20" width="9.42578125" style="86" customWidth="1"/>
    <col min="21" max="21" width="9.140625" style="88" customWidth="1"/>
    <col min="22" max="22" width="9.5703125" style="88" customWidth="1"/>
    <col min="23" max="23" width="6.140625" style="87" customWidth="1"/>
    <col min="24" max="24" width="7.5703125" style="86" customWidth="1"/>
    <col min="25" max="25" width="6.7109375" style="89" customWidth="1"/>
    <col min="26" max="26" width="8.28515625" style="86" customWidth="1"/>
    <col min="27" max="27" width="6" style="87" customWidth="1"/>
    <col min="28" max="28" width="8.28515625" style="86" customWidth="1"/>
    <col min="29" max="29" width="6.140625" style="89" customWidth="1"/>
    <col min="30" max="30" width="8.140625" style="86" customWidth="1"/>
    <col min="31" max="31" width="7.85546875" style="86" customWidth="1"/>
    <col min="32" max="32" width="6.85546875" style="86" customWidth="1"/>
    <col min="33" max="33" width="9.28515625" style="87" customWidth="1"/>
    <col min="34" max="34" width="6" style="90" customWidth="1"/>
    <col min="35" max="35" width="8" style="87" customWidth="1"/>
    <col min="36" max="36" width="6.140625" style="258" customWidth="1"/>
    <col min="37" max="37" width="8" style="87" customWidth="1"/>
    <col min="38" max="38" width="7.85546875" style="87" customWidth="1"/>
    <col min="39" max="39" width="9.140625" style="87" customWidth="1"/>
    <col min="40" max="40" width="8.42578125" style="87" customWidth="1"/>
    <col min="41" max="41" width="9" style="87" customWidth="1"/>
    <col min="42" max="42" width="8.140625" style="87" customWidth="1"/>
    <col min="43" max="43" width="10.140625" style="86" customWidth="1"/>
    <col min="44" max="44" width="9" style="86" customWidth="1"/>
    <col min="45" max="16384" width="9.140625" style="82"/>
  </cols>
  <sheetData>
    <row r="2" spans="1:44" s="7" customFormat="1">
      <c r="A2" s="6"/>
      <c r="B2" s="2"/>
      <c r="C2" s="1"/>
      <c r="D2" s="1"/>
      <c r="E2" s="3"/>
      <c r="F2" s="512"/>
      <c r="G2" s="193"/>
      <c r="H2" s="4"/>
      <c r="I2" s="5"/>
      <c r="J2" s="6"/>
      <c r="P2" s="504" t="s">
        <v>0</v>
      </c>
      <c r="Q2" s="504"/>
      <c r="R2" s="504"/>
      <c r="U2" s="8"/>
      <c r="Z2" s="6"/>
      <c r="AA2" s="509"/>
      <c r="AB2" s="509"/>
      <c r="AC2" s="593"/>
      <c r="AD2" s="593"/>
      <c r="AE2" s="593"/>
      <c r="AH2" s="8"/>
      <c r="AI2" s="8"/>
      <c r="AJ2" s="254"/>
      <c r="AK2" s="6"/>
      <c r="AL2" s="6"/>
      <c r="AM2" s="6"/>
      <c r="AN2" s="6"/>
      <c r="AO2" s="8"/>
      <c r="AP2" s="9"/>
      <c r="AQ2" s="8"/>
      <c r="AR2" s="9"/>
    </row>
    <row r="3" spans="1:44" s="7" customFormat="1">
      <c r="A3" s="6"/>
      <c r="B3" s="2"/>
      <c r="C3" s="1"/>
      <c r="D3" s="1"/>
      <c r="E3" s="3"/>
      <c r="F3" s="512"/>
      <c r="G3" s="193"/>
      <c r="H3" s="4"/>
      <c r="I3" s="5"/>
      <c r="J3" s="6"/>
      <c r="P3" s="505" t="s">
        <v>790</v>
      </c>
      <c r="Q3" s="505"/>
      <c r="R3" s="505"/>
      <c r="S3" s="505"/>
      <c r="T3" s="505"/>
      <c r="U3" s="505"/>
      <c r="Z3" s="6"/>
      <c r="AA3" s="1"/>
      <c r="AB3" s="1"/>
      <c r="AC3" s="584"/>
      <c r="AD3" s="584"/>
      <c r="AE3" s="584"/>
      <c r="AF3" s="584"/>
      <c r="AG3" s="584"/>
      <c r="AH3" s="584"/>
      <c r="AI3" s="584"/>
      <c r="AJ3" s="254"/>
      <c r="AK3" s="6"/>
      <c r="AL3" s="6"/>
      <c r="AM3" s="6"/>
      <c r="AN3" s="6"/>
      <c r="AO3" s="8"/>
      <c r="AP3" s="9"/>
      <c r="AQ3" s="8"/>
      <c r="AR3" s="9"/>
    </row>
    <row r="4" spans="1:44" s="7" customFormat="1">
      <c r="A4" s="6"/>
      <c r="B4" s="2"/>
      <c r="C4" s="1"/>
      <c r="D4" s="1"/>
      <c r="E4" s="3"/>
      <c r="F4" s="512"/>
      <c r="G4" s="193"/>
      <c r="H4" s="4"/>
      <c r="I4" s="5"/>
      <c r="J4" s="6"/>
      <c r="P4" s="504" t="s">
        <v>791</v>
      </c>
      <c r="Q4" s="11"/>
      <c r="R4" s="11"/>
      <c r="S4" s="11"/>
      <c r="U4" s="6"/>
      <c r="Z4" s="9"/>
      <c r="AA4" s="504"/>
      <c r="AB4" s="11"/>
      <c r="AC4" s="504"/>
      <c r="AD4" s="11"/>
      <c r="AE4" s="11"/>
      <c r="AF4" s="11"/>
      <c r="AH4" s="6"/>
      <c r="AJ4" s="254"/>
      <c r="AK4" s="6"/>
      <c r="AL4" s="6"/>
      <c r="AM4" s="6"/>
      <c r="AN4" s="6"/>
      <c r="AO4" s="12"/>
      <c r="AP4" s="9"/>
      <c r="AQ4" s="12"/>
      <c r="AR4" s="9"/>
    </row>
    <row r="5" spans="1:44" s="7" customFormat="1" ht="17.25" customHeight="1">
      <c r="A5" s="6"/>
      <c r="B5" s="2"/>
      <c r="C5" s="1"/>
      <c r="D5" s="1"/>
      <c r="E5" s="3"/>
      <c r="F5" s="512"/>
      <c r="G5" s="193"/>
      <c r="H5" s="4"/>
      <c r="I5" s="5"/>
      <c r="J5" s="6"/>
      <c r="P5" s="420" t="s">
        <v>863</v>
      </c>
      <c r="Q5" s="510"/>
      <c r="R5" s="510"/>
      <c r="S5" s="510"/>
      <c r="T5" s="510"/>
      <c r="U5" s="14"/>
      <c r="Z5" s="13" t="s">
        <v>1</v>
      </c>
      <c r="AA5" s="509"/>
      <c r="AB5" s="509"/>
      <c r="AC5" s="577"/>
      <c r="AD5" s="578"/>
      <c r="AE5" s="578"/>
      <c r="AF5" s="578"/>
      <c r="AG5" s="578"/>
      <c r="AH5" s="14"/>
      <c r="AJ5" s="254"/>
      <c r="AK5" s="6"/>
      <c r="AL5" s="6"/>
      <c r="AM5" s="6"/>
      <c r="AN5" s="6"/>
      <c r="AO5" s="12"/>
      <c r="AP5" s="9"/>
      <c r="AQ5" s="12"/>
      <c r="AR5" s="9"/>
    </row>
    <row r="6" spans="1:44" s="7" customFormat="1" ht="17.25" customHeight="1">
      <c r="A6" s="6"/>
      <c r="F6" s="141"/>
      <c r="G6" s="196"/>
      <c r="H6" s="3"/>
      <c r="I6" s="6"/>
      <c r="J6" s="6"/>
      <c r="K6" s="9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8"/>
      <c r="AI6" s="8"/>
      <c r="AJ6" s="257"/>
      <c r="AK6" s="8"/>
      <c r="AL6" s="8"/>
      <c r="AM6" s="8"/>
      <c r="AN6" s="8"/>
      <c r="AO6" s="8"/>
      <c r="AP6" s="8"/>
      <c r="AQ6" s="35"/>
      <c r="AR6" s="32"/>
    </row>
    <row r="7" spans="1:44" s="9" customFormat="1" ht="35.25" customHeight="1">
      <c r="A7" s="583" t="s">
        <v>865</v>
      </c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584"/>
      <c r="S7" s="584"/>
      <c r="T7" s="584"/>
      <c r="U7" s="584"/>
      <c r="V7" s="584"/>
      <c r="W7" s="584"/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4"/>
      <c r="AI7" s="584"/>
      <c r="AJ7" s="584"/>
      <c r="AK7" s="584"/>
      <c r="AL7" s="584"/>
      <c r="AM7" s="584"/>
      <c r="AN7" s="584"/>
      <c r="AO7" s="584"/>
      <c r="AP7" s="584"/>
      <c r="AQ7" s="584"/>
      <c r="AR7" s="584"/>
    </row>
    <row r="8" spans="1:44" s="7" customFormat="1" ht="14.25" customHeight="1">
      <c r="A8" s="42"/>
      <c r="B8" s="43"/>
      <c r="C8" s="43"/>
      <c r="D8" s="42"/>
      <c r="E8" s="42"/>
      <c r="F8" s="142"/>
      <c r="G8" s="197"/>
      <c r="H8" s="44"/>
      <c r="I8" s="42"/>
      <c r="J8" s="45"/>
      <c r="K8" s="46"/>
      <c r="L8" s="46"/>
      <c r="M8" s="46"/>
      <c r="N8" s="45"/>
      <c r="O8" s="46"/>
      <c r="P8" s="47"/>
      <c r="Q8" s="46"/>
      <c r="R8" s="47"/>
      <c r="S8" s="46"/>
      <c r="T8" s="45"/>
      <c r="U8" s="46"/>
      <c r="V8" s="46"/>
      <c r="W8" s="46"/>
      <c r="X8" s="45"/>
      <c r="Y8" s="48"/>
      <c r="Z8" s="45"/>
      <c r="AA8" s="46"/>
      <c r="AB8" s="45"/>
      <c r="AC8" s="48"/>
      <c r="AD8" s="45"/>
      <c r="AE8" s="45"/>
      <c r="AF8" s="45"/>
      <c r="AG8" s="46"/>
      <c r="AH8" s="46"/>
      <c r="AI8" s="46"/>
      <c r="AJ8" s="585"/>
      <c r="AK8" s="585"/>
      <c r="AL8" s="585"/>
      <c r="AM8" s="585"/>
      <c r="AN8" s="585"/>
      <c r="AO8" s="585"/>
      <c r="AP8" s="585"/>
      <c r="AQ8" s="585"/>
      <c r="AR8" s="32"/>
    </row>
    <row r="9" spans="1:44" s="49" customFormat="1" ht="18.75" customHeight="1">
      <c r="A9" s="582" t="s">
        <v>10</v>
      </c>
      <c r="B9" s="582" t="s">
        <v>11</v>
      </c>
      <c r="C9" s="582" t="s">
        <v>12</v>
      </c>
      <c r="D9" s="580" t="s">
        <v>13</v>
      </c>
      <c r="E9" s="580" t="s">
        <v>14</v>
      </c>
      <c r="F9" s="589" t="s">
        <v>182</v>
      </c>
      <c r="G9" s="580" t="s">
        <v>15</v>
      </c>
      <c r="H9" s="547" t="s">
        <v>16</v>
      </c>
      <c r="I9" s="580" t="s">
        <v>17</v>
      </c>
      <c r="J9" s="547" t="s">
        <v>18</v>
      </c>
      <c r="K9" s="580" t="s">
        <v>19</v>
      </c>
      <c r="L9" s="506"/>
      <c r="M9" s="594" t="s">
        <v>20</v>
      </c>
      <c r="N9" s="594"/>
      <c r="O9" s="594"/>
      <c r="P9" s="594"/>
      <c r="Q9" s="594"/>
      <c r="R9" s="594"/>
      <c r="S9" s="588" t="s">
        <v>21</v>
      </c>
      <c r="T9" s="586" t="s">
        <v>22</v>
      </c>
      <c r="U9" s="581">
        <v>0.1</v>
      </c>
      <c r="V9" s="581">
        <v>0.2</v>
      </c>
      <c r="W9" s="582" t="s">
        <v>23</v>
      </c>
      <c r="X9" s="582"/>
      <c r="Y9" s="582"/>
      <c r="Z9" s="582"/>
      <c r="AA9" s="580" t="s">
        <v>24</v>
      </c>
      <c r="AB9" s="580"/>
      <c r="AC9" s="580"/>
      <c r="AD9" s="580"/>
      <c r="AE9" s="586" t="s">
        <v>25</v>
      </c>
      <c r="AF9" s="586" t="s">
        <v>26</v>
      </c>
      <c r="AG9" s="587" t="s">
        <v>27</v>
      </c>
      <c r="AH9" s="580" t="s">
        <v>28</v>
      </c>
      <c r="AI9" s="580"/>
      <c r="AJ9" s="580" t="s">
        <v>29</v>
      </c>
      <c r="AK9" s="580"/>
      <c r="AL9" s="579" t="s">
        <v>30</v>
      </c>
      <c r="AM9" s="579" t="s">
        <v>31</v>
      </c>
      <c r="AN9" s="579"/>
      <c r="AO9" s="579"/>
      <c r="AP9" s="579"/>
      <c r="AQ9" s="547" t="s">
        <v>32</v>
      </c>
      <c r="AR9" s="547" t="s">
        <v>33</v>
      </c>
    </row>
    <row r="10" spans="1:44" s="49" customFormat="1" ht="42" customHeight="1">
      <c r="A10" s="582"/>
      <c r="B10" s="582"/>
      <c r="C10" s="582"/>
      <c r="D10" s="580"/>
      <c r="E10" s="580"/>
      <c r="F10" s="589"/>
      <c r="G10" s="580"/>
      <c r="H10" s="547"/>
      <c r="I10" s="580"/>
      <c r="J10" s="547"/>
      <c r="K10" s="580"/>
      <c r="L10" s="506"/>
      <c r="M10" s="594"/>
      <c r="N10" s="594"/>
      <c r="O10" s="594"/>
      <c r="P10" s="594"/>
      <c r="Q10" s="594"/>
      <c r="R10" s="594"/>
      <c r="S10" s="588"/>
      <c r="T10" s="586"/>
      <c r="U10" s="581"/>
      <c r="V10" s="581"/>
      <c r="W10" s="590" t="s">
        <v>34</v>
      </c>
      <c r="X10" s="591"/>
      <c r="Y10" s="590" t="s">
        <v>35</v>
      </c>
      <c r="Z10" s="591"/>
      <c r="AA10" s="580"/>
      <c r="AB10" s="580"/>
      <c r="AC10" s="580"/>
      <c r="AD10" s="580"/>
      <c r="AE10" s="586"/>
      <c r="AF10" s="586"/>
      <c r="AG10" s="587"/>
      <c r="AH10" s="580"/>
      <c r="AI10" s="580"/>
      <c r="AJ10" s="580"/>
      <c r="AK10" s="580"/>
      <c r="AL10" s="579"/>
      <c r="AM10" s="586" t="s">
        <v>504</v>
      </c>
      <c r="AN10" s="586" t="s">
        <v>37</v>
      </c>
      <c r="AO10" s="586" t="s">
        <v>38</v>
      </c>
      <c r="AP10" s="586" t="s">
        <v>39</v>
      </c>
      <c r="AQ10" s="547"/>
      <c r="AR10" s="547"/>
    </row>
    <row r="11" spans="1:44" s="49" customFormat="1" ht="93" customHeight="1">
      <c r="A11" s="582"/>
      <c r="B11" s="582"/>
      <c r="C11" s="582"/>
      <c r="D11" s="580"/>
      <c r="E11" s="580"/>
      <c r="F11" s="589"/>
      <c r="G11" s="580"/>
      <c r="H11" s="547"/>
      <c r="I11" s="580"/>
      <c r="J11" s="547"/>
      <c r="K11" s="580"/>
      <c r="L11" s="506"/>
      <c r="M11" s="506" t="s">
        <v>40</v>
      </c>
      <c r="N11" s="503" t="s">
        <v>41</v>
      </c>
      <c r="O11" s="506" t="s">
        <v>42</v>
      </c>
      <c r="P11" s="503" t="s">
        <v>41</v>
      </c>
      <c r="Q11" s="506" t="s">
        <v>43</v>
      </c>
      <c r="R11" s="503" t="s">
        <v>41</v>
      </c>
      <c r="S11" s="588"/>
      <c r="T11" s="586"/>
      <c r="U11" s="582"/>
      <c r="V11" s="582"/>
      <c r="W11" s="507">
        <v>0.5</v>
      </c>
      <c r="X11" s="50" t="s">
        <v>41</v>
      </c>
      <c r="Y11" s="507">
        <v>0.6</v>
      </c>
      <c r="Z11" s="50" t="s">
        <v>41</v>
      </c>
      <c r="AA11" s="511" t="s">
        <v>44</v>
      </c>
      <c r="AB11" s="50" t="s">
        <v>41</v>
      </c>
      <c r="AC11" s="511" t="s">
        <v>505</v>
      </c>
      <c r="AD11" s="50" t="s">
        <v>41</v>
      </c>
      <c r="AE11" s="586"/>
      <c r="AF11" s="586"/>
      <c r="AG11" s="588"/>
      <c r="AH11" s="506" t="s">
        <v>45</v>
      </c>
      <c r="AI11" s="50" t="s">
        <v>41</v>
      </c>
      <c r="AJ11" s="506" t="s">
        <v>46</v>
      </c>
      <c r="AK11" s="50" t="s">
        <v>41</v>
      </c>
      <c r="AL11" s="579"/>
      <c r="AM11" s="586"/>
      <c r="AN11" s="586"/>
      <c r="AO11" s="586"/>
      <c r="AP11" s="586"/>
      <c r="AQ11" s="547"/>
      <c r="AR11" s="547"/>
    </row>
    <row r="12" spans="1:44" s="7" customFormat="1" ht="12.75">
      <c r="A12" s="51">
        <v>1</v>
      </c>
      <c r="B12" s="52">
        <v>2</v>
      </c>
      <c r="C12" s="52">
        <v>3</v>
      </c>
      <c r="D12" s="51">
        <v>4</v>
      </c>
      <c r="E12" s="52">
        <v>5</v>
      </c>
      <c r="F12" s="143">
        <v>6</v>
      </c>
      <c r="G12" s="51">
        <v>7</v>
      </c>
      <c r="H12" s="52">
        <v>8</v>
      </c>
      <c r="I12" s="52">
        <v>9</v>
      </c>
      <c r="J12" s="51">
        <v>10</v>
      </c>
      <c r="K12" s="52">
        <v>11</v>
      </c>
      <c r="L12" s="52"/>
      <c r="M12" s="52">
        <v>12</v>
      </c>
      <c r="N12" s="51">
        <v>13</v>
      </c>
      <c r="O12" s="52">
        <v>14</v>
      </c>
      <c r="P12" s="52">
        <v>15</v>
      </c>
      <c r="Q12" s="51">
        <v>16</v>
      </c>
      <c r="R12" s="52">
        <v>17</v>
      </c>
      <c r="S12" s="52">
        <v>18</v>
      </c>
      <c r="T12" s="51">
        <v>19</v>
      </c>
      <c r="U12" s="52">
        <v>20</v>
      </c>
      <c r="V12" s="52">
        <v>20</v>
      </c>
      <c r="W12" s="52">
        <v>21</v>
      </c>
      <c r="X12" s="51">
        <v>22</v>
      </c>
      <c r="Y12" s="52">
        <v>23</v>
      </c>
      <c r="Z12" s="52">
        <v>24</v>
      </c>
      <c r="AA12" s="51">
        <v>25</v>
      </c>
      <c r="AB12" s="52">
        <v>26</v>
      </c>
      <c r="AC12" s="52">
        <v>27</v>
      </c>
      <c r="AD12" s="51">
        <v>28</v>
      </c>
      <c r="AE12" s="52">
        <v>29</v>
      </c>
      <c r="AF12" s="52">
        <v>30</v>
      </c>
      <c r="AG12" s="51">
        <v>31</v>
      </c>
      <c r="AH12" s="52">
        <v>32</v>
      </c>
      <c r="AI12" s="52">
        <v>33</v>
      </c>
      <c r="AJ12" s="52">
        <v>32</v>
      </c>
      <c r="AK12" s="52">
        <v>33</v>
      </c>
      <c r="AL12" s="51">
        <v>34</v>
      </c>
      <c r="AM12" s="52">
        <v>35</v>
      </c>
      <c r="AN12" s="52">
        <v>36</v>
      </c>
      <c r="AO12" s="51">
        <v>37</v>
      </c>
      <c r="AP12" s="52">
        <v>38</v>
      </c>
      <c r="AQ12" s="52">
        <v>39</v>
      </c>
      <c r="AR12" s="51">
        <v>40</v>
      </c>
    </row>
    <row r="13" spans="1:44" s="209" customFormat="1" ht="15" customHeight="1">
      <c r="A13" s="242">
        <v>1</v>
      </c>
      <c r="B13" s="62" t="s">
        <v>56</v>
      </c>
      <c r="C13" s="63" t="s">
        <v>57</v>
      </c>
      <c r="D13" s="64" t="s">
        <v>50</v>
      </c>
      <c r="E13" s="51" t="s">
        <v>51</v>
      </c>
      <c r="F13" s="409" t="s">
        <v>509</v>
      </c>
      <c r="G13" s="214">
        <v>5.41</v>
      </c>
      <c r="H13" s="66">
        <v>17697</v>
      </c>
      <c r="I13" s="200">
        <v>2</v>
      </c>
      <c r="J13" s="66">
        <f t="shared" ref="J13:J15" si="0">H13*G13*I13</f>
        <v>191481.54</v>
      </c>
      <c r="K13" s="200">
        <f t="shared" ref="K13:K15" si="1">(M13+O13+Q13)/16</f>
        <v>1</v>
      </c>
      <c r="L13" s="200">
        <f t="shared" ref="L13" si="2">M13+O13+Q13</f>
        <v>16</v>
      </c>
      <c r="M13" s="69">
        <v>4</v>
      </c>
      <c r="N13" s="66">
        <f t="shared" ref="N13" si="3">J13/16*M13</f>
        <v>47870.385000000002</v>
      </c>
      <c r="O13" s="69">
        <v>11</v>
      </c>
      <c r="P13" s="66">
        <f t="shared" ref="P13" si="4">J13/16*O13</f>
        <v>131643.55875</v>
      </c>
      <c r="Q13" s="69">
        <v>1</v>
      </c>
      <c r="R13" s="66">
        <f t="shared" ref="R13" si="5">J13/16*Q13</f>
        <v>11967.596250000001</v>
      </c>
      <c r="S13" s="201">
        <f t="shared" ref="S13" si="6">(N13+P13+R13)*25%</f>
        <v>47870.385000000002</v>
      </c>
      <c r="T13" s="66">
        <f t="shared" ref="T13" si="7">N13+P13+R13+S13</f>
        <v>239351.92500000002</v>
      </c>
      <c r="U13" s="66">
        <f t="shared" ref="U13" si="8">T13*10%</f>
        <v>23935.192500000005</v>
      </c>
      <c r="V13" s="66">
        <f t="shared" ref="V13" si="9">T13*20%</f>
        <v>47870.385000000009</v>
      </c>
      <c r="W13" s="202"/>
      <c r="X13" s="66">
        <f t="shared" ref="X13" si="10">(H13*W13)*50%</f>
        <v>0</v>
      </c>
      <c r="Y13" s="207"/>
      <c r="Z13" s="66">
        <f t="shared" ref="Z13" si="11">H13*Y13*60%</f>
        <v>0</v>
      </c>
      <c r="AA13" s="207"/>
      <c r="AB13" s="66">
        <f t="shared" ref="AB13" si="12">((H13*40%/16*AA13))</f>
        <v>0</v>
      </c>
      <c r="AC13" s="207"/>
      <c r="AD13" s="66">
        <f t="shared" ref="AD13" si="13">((H13*50%/16*AC13))</f>
        <v>0</v>
      </c>
      <c r="AE13" s="50"/>
      <c r="AF13" s="50"/>
      <c r="AG13" s="66">
        <f t="shared" ref="AG13" si="14">T13*30%</f>
        <v>71805.577499999999</v>
      </c>
      <c r="AH13" s="66">
        <v>1</v>
      </c>
      <c r="AI13" s="66">
        <f t="shared" ref="AI13" si="15">((H13*20%/16*AH13))</f>
        <v>221.21250000000001</v>
      </c>
      <c r="AJ13" s="69"/>
      <c r="AK13" s="66">
        <f t="shared" ref="AK13" si="16">((H13*40%/16*AJ13))</f>
        <v>0</v>
      </c>
      <c r="AL13" s="508"/>
      <c r="AM13" s="69"/>
      <c r="AN13" s="69"/>
      <c r="AO13" s="202">
        <f t="shared" ref="AO13" si="17">T13*40%</f>
        <v>95740.770000000019</v>
      </c>
      <c r="AP13" s="205"/>
      <c r="AQ13" s="66">
        <f t="shared" ref="AQ13" si="18">SUM(T13:AP13)</f>
        <v>478926.06250000012</v>
      </c>
      <c r="AR13" s="66">
        <f t="shared" ref="AR13" si="19">AQ13*12/1000</f>
        <v>5747.1127500000021</v>
      </c>
    </row>
    <row r="14" spans="1:44" s="215" customFormat="1" ht="15" customHeight="1">
      <c r="A14" s="51">
        <v>2</v>
      </c>
      <c r="B14" s="77" t="s">
        <v>128</v>
      </c>
      <c r="C14" s="217" t="s">
        <v>798</v>
      </c>
      <c r="D14" s="64" t="s">
        <v>50</v>
      </c>
      <c r="E14" s="51" t="s">
        <v>110</v>
      </c>
      <c r="F14" s="261">
        <v>9</v>
      </c>
      <c r="G14" s="253">
        <v>4.79</v>
      </c>
      <c r="H14" s="66">
        <v>17697</v>
      </c>
      <c r="I14" s="200">
        <v>2</v>
      </c>
      <c r="J14" s="66">
        <f t="shared" si="0"/>
        <v>169537.26</v>
      </c>
      <c r="K14" s="200">
        <f>(M14+O14+Q14)/16</f>
        <v>0.8125</v>
      </c>
      <c r="L14" s="200">
        <f t="shared" ref="L14:L15" si="20">M14+O14+Q14</f>
        <v>13</v>
      </c>
      <c r="M14" s="210">
        <v>4</v>
      </c>
      <c r="N14" s="66">
        <f t="shared" ref="N14:N15" si="21">J14/16*M14</f>
        <v>42384.315000000002</v>
      </c>
      <c r="O14" s="210">
        <v>9</v>
      </c>
      <c r="P14" s="66">
        <f t="shared" ref="P14:P15" si="22">J14/16*O14</f>
        <v>95364.708750000005</v>
      </c>
      <c r="Q14" s="210"/>
      <c r="R14" s="66">
        <f t="shared" ref="R14:R15" si="23">J14/16*Q14</f>
        <v>0</v>
      </c>
      <c r="S14" s="201">
        <f t="shared" ref="S14" si="24">(N14+P14+R14)*25%</f>
        <v>34437.255937499998</v>
      </c>
      <c r="T14" s="66">
        <f t="shared" ref="T14" si="25">N14+P14+R14+S14</f>
        <v>172186.27968749998</v>
      </c>
      <c r="U14" s="66">
        <f t="shared" ref="U14:U15" si="26">T14*10%</f>
        <v>17218.627968749999</v>
      </c>
      <c r="V14" s="66">
        <f t="shared" ref="V14" si="27">T14*20%</f>
        <v>34437.255937499998</v>
      </c>
      <c r="W14" s="210"/>
      <c r="X14" s="66">
        <f t="shared" ref="X14" si="28">(H14*W14)*50%</f>
        <v>0</v>
      </c>
      <c r="Y14" s="211"/>
      <c r="Z14" s="66">
        <f t="shared" ref="Z14" si="29">H14*Y14*60%</f>
        <v>0</v>
      </c>
      <c r="AA14" s="211"/>
      <c r="AB14" s="66">
        <f t="shared" ref="AB14" si="30">((H14*40%/16*AA14))</f>
        <v>0</v>
      </c>
      <c r="AC14" s="211"/>
      <c r="AD14" s="66">
        <f t="shared" ref="AD14" si="31">((H14*50%/16*AC14))</f>
        <v>0</v>
      </c>
      <c r="AE14" s="212"/>
      <c r="AF14" s="212"/>
      <c r="AG14" s="66">
        <f t="shared" ref="AG14" si="32">T14*30%</f>
        <v>51655.88390624999</v>
      </c>
      <c r="AH14" s="66"/>
      <c r="AI14" s="66">
        <f t="shared" ref="AI14" si="33">((H14*20%/16*AH14))</f>
        <v>0</v>
      </c>
      <c r="AJ14" s="210">
        <v>1</v>
      </c>
      <c r="AK14" s="66">
        <f t="shared" ref="AK14" si="34">((H14*40%/16*AJ14))</f>
        <v>442.42500000000001</v>
      </c>
      <c r="AL14" s="210"/>
      <c r="AM14" s="210"/>
      <c r="AN14" s="213">
        <f t="shared" ref="AN14" si="35">T14*35%</f>
        <v>60265.197890624986</v>
      </c>
      <c r="AO14" s="210"/>
      <c r="AP14" s="210"/>
      <c r="AQ14" s="66">
        <f t="shared" ref="AQ14" si="36">SUM(T14:AP14)</f>
        <v>336206.67039062496</v>
      </c>
      <c r="AR14" s="66">
        <f t="shared" ref="AR14" si="37">AQ14*12/1000</f>
        <v>4034.4800446874992</v>
      </c>
    </row>
    <row r="15" spans="1:44" s="215" customFormat="1" ht="15" customHeight="1">
      <c r="A15" s="51">
        <v>3</v>
      </c>
      <c r="B15" s="216" t="s">
        <v>138</v>
      </c>
      <c r="C15" s="217" t="s">
        <v>57</v>
      </c>
      <c r="D15" s="64" t="s">
        <v>50</v>
      </c>
      <c r="E15" s="51" t="s">
        <v>127</v>
      </c>
      <c r="F15" s="408" t="s">
        <v>546</v>
      </c>
      <c r="G15" s="214">
        <v>4.66</v>
      </c>
      <c r="H15" s="66">
        <v>17697</v>
      </c>
      <c r="I15" s="200">
        <v>2</v>
      </c>
      <c r="J15" s="66">
        <f t="shared" si="0"/>
        <v>164936.04</v>
      </c>
      <c r="K15" s="200">
        <f t="shared" si="1"/>
        <v>0.6875</v>
      </c>
      <c r="L15" s="200">
        <f t="shared" si="20"/>
        <v>11</v>
      </c>
      <c r="M15" s="210"/>
      <c r="N15" s="66">
        <f t="shared" si="21"/>
        <v>0</v>
      </c>
      <c r="O15" s="210">
        <v>11</v>
      </c>
      <c r="P15" s="66">
        <f t="shared" si="22"/>
        <v>113393.52750000001</v>
      </c>
      <c r="Q15" s="210"/>
      <c r="R15" s="66">
        <f t="shared" si="23"/>
        <v>0</v>
      </c>
      <c r="S15" s="201">
        <f t="shared" ref="S15" si="38">(N15+P15+R15)*25%</f>
        <v>28348.381875000003</v>
      </c>
      <c r="T15" s="66">
        <f t="shared" ref="T15" si="39">N15+P15+R15+S15</f>
        <v>141741.90937500002</v>
      </c>
      <c r="U15" s="66">
        <f t="shared" si="26"/>
        <v>14174.190937500003</v>
      </c>
      <c r="V15" s="66">
        <f t="shared" ref="V15" si="40">T15*20%</f>
        <v>28348.381875000006</v>
      </c>
      <c r="W15" s="210"/>
      <c r="X15" s="66">
        <f t="shared" ref="X15" si="41">(H15*W15)*50%</f>
        <v>0</v>
      </c>
      <c r="Y15" s="211">
        <v>1</v>
      </c>
      <c r="Z15" s="66">
        <f t="shared" ref="Z15" si="42">H15*Y15*60%</f>
        <v>10618.199999999999</v>
      </c>
      <c r="AA15" s="210"/>
      <c r="AB15" s="66">
        <f t="shared" ref="AB15" si="43">((H15*40%/16*AA15))</f>
        <v>0</v>
      </c>
      <c r="AC15" s="211"/>
      <c r="AD15" s="66">
        <f t="shared" ref="AD15" si="44">((H15*40%/16*AC15))</f>
        <v>0</v>
      </c>
      <c r="AE15" s="212"/>
      <c r="AF15" s="212"/>
      <c r="AG15" s="66">
        <f t="shared" ref="AG15" si="45">T15*30%</f>
        <v>42522.572812500002</v>
      </c>
      <c r="AH15" s="66"/>
      <c r="AI15" s="66">
        <f t="shared" ref="AI15" si="46">((H15*20%/16*AH15))</f>
        <v>0</v>
      </c>
      <c r="AJ15" s="210"/>
      <c r="AK15" s="66">
        <f t="shared" ref="AK15" si="47">((H15*40%/16*AJ15))</f>
        <v>0</v>
      </c>
      <c r="AL15" s="210"/>
      <c r="AM15" s="213">
        <f t="shared" ref="AM15" si="48">T15*30%</f>
        <v>42522.572812500002</v>
      </c>
      <c r="AN15" s="210"/>
      <c r="AO15" s="210"/>
      <c r="AP15" s="210"/>
      <c r="AQ15" s="66">
        <f t="shared" ref="AQ15" si="49">SUM(T15:AP15)</f>
        <v>279928.82781250007</v>
      </c>
      <c r="AR15" s="66">
        <f t="shared" ref="AR15" si="50">AQ15*12/1000</f>
        <v>3359.1459337500009</v>
      </c>
    </row>
    <row r="16" spans="1:44" s="76" customFormat="1" ht="15" customHeight="1">
      <c r="A16" s="259"/>
      <c r="B16" s="70"/>
      <c r="C16" s="70"/>
      <c r="D16" s="70"/>
      <c r="E16" s="70"/>
      <c r="F16" s="71"/>
      <c r="G16" s="72"/>
      <c r="H16" s="73"/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</row>
    <row r="17" spans="1:44">
      <c r="A17" s="82"/>
      <c r="H17" s="84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</row>
    <row r="18" spans="1:44">
      <c r="A18" s="82"/>
      <c r="H18" s="84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</row>
    <row r="19" spans="1:44">
      <c r="A19" s="82"/>
      <c r="H19" s="84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</row>
    <row r="20" spans="1:44" ht="22.5" customHeight="1">
      <c r="A20" s="82"/>
      <c r="B20" s="575" t="s">
        <v>507</v>
      </c>
      <c r="C20" s="575"/>
      <c r="D20" s="575"/>
      <c r="E20" s="575"/>
      <c r="F20" s="575"/>
      <c r="I20" s="592" t="s">
        <v>381</v>
      </c>
      <c r="J20" s="533"/>
      <c r="K20" s="533"/>
      <c r="L20" s="533"/>
      <c r="M20" s="533"/>
      <c r="N20" s="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</row>
    <row r="21" spans="1:44">
      <c r="A21" s="82"/>
      <c r="B21" s="187"/>
      <c r="C21" s="43"/>
      <c r="F21" s="82"/>
      <c r="K21" s="186"/>
      <c r="L21" s="186"/>
      <c r="M21" s="2"/>
      <c r="N21" s="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</row>
    <row r="22" spans="1:44" ht="25.5" customHeight="1">
      <c r="A22" s="82"/>
      <c r="B22" s="576"/>
      <c r="C22" s="576"/>
      <c r="D22" s="576"/>
      <c r="E22" s="576"/>
      <c r="F22" s="576"/>
      <c r="G22" s="576"/>
      <c r="K22" s="573"/>
      <c r="L22" s="573"/>
      <c r="M22" s="574"/>
      <c r="N22" s="574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</row>
  </sheetData>
  <mergeCells count="42">
    <mergeCell ref="B20:F20"/>
    <mergeCell ref="I20:M20"/>
    <mergeCell ref="B22:G22"/>
    <mergeCell ref="K22:N22"/>
    <mergeCell ref="AL9:AL11"/>
    <mergeCell ref="M9:R10"/>
    <mergeCell ref="S9:S11"/>
    <mergeCell ref="T9:T11"/>
    <mergeCell ref="U9:U11"/>
    <mergeCell ref="V9:V11"/>
    <mergeCell ref="F9:F11"/>
    <mergeCell ref="G9:G11"/>
    <mergeCell ref="H9:H11"/>
    <mergeCell ref="I9:I11"/>
    <mergeCell ref="J9:J11"/>
    <mergeCell ref="K9:K11"/>
    <mergeCell ref="AM9:AP9"/>
    <mergeCell ref="AQ9:AQ11"/>
    <mergeCell ref="AR9:AR11"/>
    <mergeCell ref="W10:X10"/>
    <mergeCell ref="Y10:Z10"/>
    <mergeCell ref="AM10:AM11"/>
    <mergeCell ref="AN10:AN11"/>
    <mergeCell ref="AO10:AO11"/>
    <mergeCell ref="AP10:AP11"/>
    <mergeCell ref="AA9:AD10"/>
    <mergeCell ref="AE9:AE11"/>
    <mergeCell ref="AF9:AF11"/>
    <mergeCell ref="AG9:AG11"/>
    <mergeCell ref="AH9:AI10"/>
    <mergeCell ref="AJ9:AK10"/>
    <mergeCell ref="W9:Z9"/>
    <mergeCell ref="AC2:AE2"/>
    <mergeCell ref="AC3:AI3"/>
    <mergeCell ref="AC5:AG5"/>
    <mergeCell ref="A7:AR7"/>
    <mergeCell ref="AJ8:AQ8"/>
    <mergeCell ref="A9:A11"/>
    <mergeCell ref="B9:B11"/>
    <mergeCell ref="C9:C11"/>
    <mergeCell ref="D9:D11"/>
    <mergeCell ref="E9:E11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AR27"/>
  <sheetViews>
    <sheetView view="pageBreakPreview" topLeftCell="A10" zoomScale="90" zoomScaleNormal="76" zoomScaleSheetLayoutView="90" workbookViewId="0">
      <selection activeCell="C10" sqref="C10:C12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8" style="82" customWidth="1"/>
    <col min="6" max="6" width="8.7109375" style="145" customWidth="1"/>
    <col min="7" max="7" width="6.7109375" style="198" customWidth="1"/>
    <col min="8" max="8" width="7.28515625" style="91" customWidth="1"/>
    <col min="9" max="9" width="6.85546875" style="85" customWidth="1"/>
    <col min="10" max="10" width="9.5703125" style="86" customWidth="1"/>
    <col min="11" max="11" width="7.85546875" style="87" customWidth="1"/>
    <col min="12" max="12" width="7.85546875" style="87" hidden="1" customWidth="1"/>
    <col min="13" max="13" width="5.85546875" style="87" customWidth="1"/>
    <col min="14" max="14" width="9.7109375" style="86" customWidth="1"/>
    <col min="15" max="15" width="7.5703125" style="12" customWidth="1"/>
    <col min="16" max="16" width="10" style="86" customWidth="1"/>
    <col min="17" max="17" width="6.42578125" style="12" customWidth="1"/>
    <col min="18" max="18" width="10.5703125" style="86" customWidth="1"/>
    <col min="19" max="19" width="9.5703125" style="87" customWidth="1"/>
    <col min="20" max="20" width="9.42578125" style="86" customWidth="1"/>
    <col min="21" max="21" width="9.140625" style="88" customWidth="1"/>
    <col min="22" max="22" width="9.5703125" style="88" customWidth="1"/>
    <col min="23" max="23" width="6.140625" style="87" customWidth="1"/>
    <col min="24" max="24" width="7.5703125" style="86" customWidth="1"/>
    <col min="25" max="25" width="6.7109375" style="89" customWidth="1"/>
    <col min="26" max="26" width="8.28515625" style="86" customWidth="1"/>
    <col min="27" max="27" width="6" style="87" customWidth="1"/>
    <col min="28" max="28" width="8.28515625" style="86" customWidth="1"/>
    <col min="29" max="29" width="6.140625" style="89" customWidth="1"/>
    <col min="30" max="30" width="8.140625" style="86" customWidth="1"/>
    <col min="31" max="31" width="7.85546875" style="86" customWidth="1"/>
    <col min="32" max="32" width="6.85546875" style="86" customWidth="1"/>
    <col min="33" max="33" width="9.28515625" style="87" customWidth="1"/>
    <col min="34" max="34" width="6" style="90" customWidth="1"/>
    <col min="35" max="35" width="8" style="87" customWidth="1"/>
    <col min="36" max="36" width="6.140625" style="258" customWidth="1"/>
    <col min="37" max="37" width="8" style="87" customWidth="1"/>
    <col min="38" max="38" width="7.85546875" style="87" customWidth="1"/>
    <col min="39" max="39" width="9.140625" style="87" customWidth="1"/>
    <col min="40" max="40" width="8.42578125" style="87" customWidth="1"/>
    <col min="41" max="41" width="9" style="87" customWidth="1"/>
    <col min="42" max="42" width="8.140625" style="87" customWidth="1"/>
    <col min="43" max="43" width="10.140625" style="86" customWidth="1"/>
    <col min="44" max="44" width="9" style="86" customWidth="1"/>
    <col min="45" max="16384" width="9.140625" style="82"/>
  </cols>
  <sheetData>
    <row r="2" spans="1:44" s="7" customFormat="1">
      <c r="A2" s="6"/>
      <c r="B2" s="2"/>
      <c r="C2" s="1"/>
      <c r="D2" s="1"/>
      <c r="E2" s="3"/>
      <c r="F2" s="512"/>
      <c r="G2" s="193"/>
      <c r="H2" s="4"/>
      <c r="I2" s="5"/>
      <c r="J2" s="6"/>
      <c r="P2" s="504" t="s">
        <v>0</v>
      </c>
      <c r="Q2" s="504"/>
      <c r="R2" s="504"/>
      <c r="U2" s="8"/>
      <c r="Z2" s="6"/>
      <c r="AA2" s="509"/>
      <c r="AB2" s="509"/>
      <c r="AC2" s="593"/>
      <c r="AD2" s="593"/>
      <c r="AE2" s="593"/>
      <c r="AH2" s="8"/>
      <c r="AI2" s="8"/>
      <c r="AJ2" s="254"/>
      <c r="AK2" s="6"/>
      <c r="AL2" s="6"/>
      <c r="AM2" s="6"/>
      <c r="AN2" s="6"/>
      <c r="AO2" s="8"/>
      <c r="AP2" s="9"/>
      <c r="AQ2" s="8"/>
      <c r="AR2" s="9"/>
    </row>
    <row r="3" spans="1:44" s="7" customFormat="1">
      <c r="A3" s="6"/>
      <c r="B3" s="2"/>
      <c r="C3" s="1"/>
      <c r="D3" s="1"/>
      <c r="E3" s="3"/>
      <c r="F3" s="512"/>
      <c r="G3" s="193"/>
      <c r="H3" s="4"/>
      <c r="I3" s="5"/>
      <c r="J3" s="6"/>
      <c r="P3" s="505" t="s">
        <v>790</v>
      </c>
      <c r="Q3" s="505"/>
      <c r="R3" s="505"/>
      <c r="S3" s="505"/>
      <c r="T3" s="505"/>
      <c r="U3" s="505"/>
      <c r="Z3" s="6"/>
      <c r="AA3" s="1"/>
      <c r="AB3" s="1"/>
      <c r="AC3" s="584"/>
      <c r="AD3" s="584"/>
      <c r="AE3" s="584"/>
      <c r="AF3" s="584"/>
      <c r="AG3" s="584"/>
      <c r="AH3" s="584"/>
      <c r="AI3" s="584"/>
      <c r="AJ3" s="254"/>
      <c r="AK3" s="6"/>
      <c r="AL3" s="6"/>
      <c r="AM3" s="6"/>
      <c r="AN3" s="6"/>
      <c r="AO3" s="8"/>
      <c r="AP3" s="9"/>
      <c r="AQ3" s="8"/>
      <c r="AR3" s="9"/>
    </row>
    <row r="4" spans="1:44" s="7" customFormat="1">
      <c r="A4" s="6"/>
      <c r="B4" s="2"/>
      <c r="C4" s="1"/>
      <c r="D4" s="1"/>
      <c r="E4" s="3"/>
      <c r="F4" s="512"/>
      <c r="G4" s="193"/>
      <c r="H4" s="4"/>
      <c r="I4" s="5"/>
      <c r="J4" s="6"/>
      <c r="P4" s="504" t="s">
        <v>791</v>
      </c>
      <c r="Q4" s="11"/>
      <c r="R4" s="11"/>
      <c r="S4" s="11"/>
      <c r="U4" s="6"/>
      <c r="Z4" s="9"/>
      <c r="AA4" s="504"/>
      <c r="AB4" s="11"/>
      <c r="AC4" s="504"/>
      <c r="AD4" s="11"/>
      <c r="AE4" s="11"/>
      <c r="AF4" s="11"/>
      <c r="AH4" s="6"/>
      <c r="AJ4" s="254"/>
      <c r="AK4" s="6"/>
      <c r="AL4" s="6"/>
      <c r="AM4" s="6"/>
      <c r="AN4" s="6"/>
      <c r="AO4" s="12"/>
      <c r="AP4" s="9"/>
      <c r="AQ4" s="12"/>
      <c r="AR4" s="9"/>
    </row>
    <row r="5" spans="1:44" s="7" customFormat="1" ht="17.25" customHeight="1">
      <c r="A5" s="6"/>
      <c r="B5" s="2"/>
      <c r="C5" s="1"/>
      <c r="D5" s="1"/>
      <c r="E5" s="3"/>
      <c r="F5" s="512"/>
      <c r="G5" s="193"/>
      <c r="H5" s="4"/>
      <c r="I5" s="5"/>
      <c r="J5" s="6"/>
      <c r="P5" s="420" t="s">
        <v>870</v>
      </c>
      <c r="Q5" s="510"/>
      <c r="R5" s="510"/>
      <c r="S5" s="510"/>
      <c r="T5" s="510"/>
      <c r="U5" s="14"/>
      <c r="Z5" s="13" t="s">
        <v>1</v>
      </c>
      <c r="AA5" s="509"/>
      <c r="AB5" s="509"/>
      <c r="AC5" s="577"/>
      <c r="AD5" s="578"/>
      <c r="AE5" s="578"/>
      <c r="AF5" s="578"/>
      <c r="AG5" s="578"/>
      <c r="AH5" s="14"/>
      <c r="AJ5" s="254"/>
      <c r="AK5" s="6"/>
      <c r="AL5" s="6"/>
      <c r="AM5" s="6"/>
      <c r="AN5" s="6"/>
      <c r="AO5" s="12"/>
      <c r="AP5" s="9"/>
      <c r="AQ5" s="12"/>
      <c r="AR5" s="9"/>
    </row>
    <row r="6" spans="1:44" s="7" customFormat="1">
      <c r="A6" s="6"/>
      <c r="B6" s="2"/>
      <c r="C6" s="1"/>
      <c r="D6" s="1"/>
      <c r="E6" s="3"/>
      <c r="F6" s="512"/>
      <c r="G6" s="193"/>
      <c r="H6" s="4"/>
      <c r="I6" s="5"/>
      <c r="J6" s="6"/>
      <c r="P6" s="420"/>
      <c r="Q6" s="2"/>
      <c r="R6" s="2"/>
      <c r="S6" s="2"/>
      <c r="T6" s="15"/>
      <c r="U6" s="15"/>
      <c r="Z6" s="9"/>
      <c r="AA6" s="509"/>
      <c r="AB6" s="2"/>
      <c r="AC6" s="509"/>
      <c r="AD6" s="2"/>
      <c r="AE6" s="2"/>
      <c r="AF6" s="2"/>
      <c r="AG6" s="15"/>
      <c r="AH6" s="15"/>
      <c r="AJ6" s="254"/>
      <c r="AK6" s="6"/>
      <c r="AL6" s="6"/>
      <c r="AM6" s="6"/>
      <c r="AN6" s="6"/>
      <c r="AO6" s="12"/>
      <c r="AP6" s="9"/>
      <c r="AQ6" s="12"/>
      <c r="AR6" s="9"/>
    </row>
    <row r="7" spans="1:44" s="7" customFormat="1" ht="17.25" customHeight="1">
      <c r="A7" s="6"/>
      <c r="F7" s="141"/>
      <c r="G7" s="196"/>
      <c r="H7" s="3"/>
      <c r="I7" s="6"/>
      <c r="J7" s="6"/>
      <c r="K7" s="9"/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8"/>
      <c r="AI7" s="8"/>
      <c r="AJ7" s="257"/>
      <c r="AK7" s="8"/>
      <c r="AL7" s="8"/>
      <c r="AM7" s="8"/>
      <c r="AN7" s="8"/>
      <c r="AO7" s="8"/>
      <c r="AP7" s="8"/>
      <c r="AQ7" s="35"/>
      <c r="AR7" s="32"/>
    </row>
    <row r="8" spans="1:44" s="9" customFormat="1" ht="35.25" customHeight="1">
      <c r="A8" s="583" t="s">
        <v>871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584"/>
      <c r="AN8" s="584"/>
      <c r="AO8" s="584"/>
      <c r="AP8" s="584"/>
      <c r="AQ8" s="584"/>
      <c r="AR8" s="584"/>
    </row>
    <row r="9" spans="1:44" s="7" customFormat="1" ht="14.25" customHeight="1">
      <c r="A9" s="42"/>
      <c r="B9" s="43"/>
      <c r="C9" s="43"/>
      <c r="D9" s="42"/>
      <c r="E9" s="42"/>
      <c r="F9" s="142"/>
      <c r="G9" s="197"/>
      <c r="H9" s="44"/>
      <c r="I9" s="42"/>
      <c r="J9" s="45"/>
      <c r="K9" s="46"/>
      <c r="L9" s="46"/>
      <c r="M9" s="46"/>
      <c r="N9" s="45"/>
      <c r="O9" s="46"/>
      <c r="P9" s="47"/>
      <c r="Q9" s="46"/>
      <c r="R9" s="47"/>
      <c r="S9" s="46"/>
      <c r="T9" s="45"/>
      <c r="U9" s="46"/>
      <c r="V9" s="46"/>
      <c r="W9" s="46"/>
      <c r="X9" s="45"/>
      <c r="Y9" s="48"/>
      <c r="Z9" s="45"/>
      <c r="AA9" s="46"/>
      <c r="AB9" s="45"/>
      <c r="AC9" s="48"/>
      <c r="AD9" s="45"/>
      <c r="AE9" s="45"/>
      <c r="AF9" s="45"/>
      <c r="AG9" s="46"/>
      <c r="AH9" s="46"/>
      <c r="AI9" s="46"/>
      <c r="AJ9" s="585"/>
      <c r="AK9" s="585"/>
      <c r="AL9" s="585"/>
      <c r="AM9" s="585"/>
      <c r="AN9" s="585"/>
      <c r="AO9" s="585"/>
      <c r="AP9" s="585"/>
      <c r="AQ9" s="585"/>
      <c r="AR9" s="32"/>
    </row>
    <row r="10" spans="1:44" s="49" customFormat="1" ht="18.75" customHeight="1">
      <c r="A10" s="582" t="s">
        <v>10</v>
      </c>
      <c r="B10" s="582" t="s">
        <v>11</v>
      </c>
      <c r="C10" s="582" t="s">
        <v>12</v>
      </c>
      <c r="D10" s="580" t="s">
        <v>13</v>
      </c>
      <c r="E10" s="580" t="s">
        <v>14</v>
      </c>
      <c r="F10" s="589" t="s">
        <v>182</v>
      </c>
      <c r="G10" s="580" t="s">
        <v>15</v>
      </c>
      <c r="H10" s="547" t="s">
        <v>16</v>
      </c>
      <c r="I10" s="580" t="s">
        <v>17</v>
      </c>
      <c r="J10" s="547" t="s">
        <v>18</v>
      </c>
      <c r="K10" s="580" t="s">
        <v>19</v>
      </c>
      <c r="L10" s="506"/>
      <c r="M10" s="594" t="s">
        <v>20</v>
      </c>
      <c r="N10" s="594"/>
      <c r="O10" s="594"/>
      <c r="P10" s="594"/>
      <c r="Q10" s="594"/>
      <c r="R10" s="594"/>
      <c r="S10" s="588" t="s">
        <v>21</v>
      </c>
      <c r="T10" s="586" t="s">
        <v>22</v>
      </c>
      <c r="U10" s="581">
        <v>0.1</v>
      </c>
      <c r="V10" s="581">
        <v>0.2</v>
      </c>
      <c r="W10" s="582" t="s">
        <v>23</v>
      </c>
      <c r="X10" s="582"/>
      <c r="Y10" s="582"/>
      <c r="Z10" s="582"/>
      <c r="AA10" s="580" t="s">
        <v>24</v>
      </c>
      <c r="AB10" s="580"/>
      <c r="AC10" s="580"/>
      <c r="AD10" s="580"/>
      <c r="AE10" s="586" t="s">
        <v>25</v>
      </c>
      <c r="AF10" s="586" t="s">
        <v>26</v>
      </c>
      <c r="AG10" s="587" t="s">
        <v>27</v>
      </c>
      <c r="AH10" s="580" t="s">
        <v>28</v>
      </c>
      <c r="AI10" s="580"/>
      <c r="AJ10" s="580" t="s">
        <v>29</v>
      </c>
      <c r="AK10" s="580"/>
      <c r="AL10" s="579" t="s">
        <v>30</v>
      </c>
      <c r="AM10" s="579" t="s">
        <v>31</v>
      </c>
      <c r="AN10" s="579"/>
      <c r="AO10" s="579"/>
      <c r="AP10" s="579"/>
      <c r="AQ10" s="547" t="s">
        <v>32</v>
      </c>
      <c r="AR10" s="547" t="s">
        <v>33</v>
      </c>
    </row>
    <row r="11" spans="1:44" s="49" customFormat="1" ht="42" customHeight="1">
      <c r="A11" s="582"/>
      <c r="B11" s="582"/>
      <c r="C11" s="582"/>
      <c r="D11" s="580"/>
      <c r="E11" s="580"/>
      <c r="F11" s="589"/>
      <c r="G11" s="580"/>
      <c r="H11" s="547"/>
      <c r="I11" s="580"/>
      <c r="J11" s="547"/>
      <c r="K11" s="580"/>
      <c r="L11" s="506"/>
      <c r="M11" s="594"/>
      <c r="N11" s="594"/>
      <c r="O11" s="594"/>
      <c r="P11" s="594"/>
      <c r="Q11" s="594"/>
      <c r="R11" s="594"/>
      <c r="S11" s="588"/>
      <c r="T11" s="586"/>
      <c r="U11" s="581"/>
      <c r="V11" s="581"/>
      <c r="W11" s="590" t="s">
        <v>34</v>
      </c>
      <c r="X11" s="591"/>
      <c r="Y11" s="590" t="s">
        <v>35</v>
      </c>
      <c r="Z11" s="591"/>
      <c r="AA11" s="580"/>
      <c r="AB11" s="580"/>
      <c r="AC11" s="580"/>
      <c r="AD11" s="580"/>
      <c r="AE11" s="586"/>
      <c r="AF11" s="586"/>
      <c r="AG11" s="587"/>
      <c r="AH11" s="580"/>
      <c r="AI11" s="580"/>
      <c r="AJ11" s="580"/>
      <c r="AK11" s="580"/>
      <c r="AL11" s="579"/>
      <c r="AM11" s="586" t="s">
        <v>504</v>
      </c>
      <c r="AN11" s="586" t="s">
        <v>37</v>
      </c>
      <c r="AO11" s="586" t="s">
        <v>38</v>
      </c>
      <c r="AP11" s="586" t="s">
        <v>39</v>
      </c>
      <c r="AQ11" s="547"/>
      <c r="AR11" s="547"/>
    </row>
    <row r="12" spans="1:44" s="49" customFormat="1" ht="93" customHeight="1">
      <c r="A12" s="582"/>
      <c r="B12" s="582"/>
      <c r="C12" s="582"/>
      <c r="D12" s="580"/>
      <c r="E12" s="580"/>
      <c r="F12" s="589"/>
      <c r="G12" s="580"/>
      <c r="H12" s="547"/>
      <c r="I12" s="580"/>
      <c r="J12" s="547"/>
      <c r="K12" s="580"/>
      <c r="L12" s="506"/>
      <c r="M12" s="506" t="s">
        <v>40</v>
      </c>
      <c r="N12" s="503" t="s">
        <v>41</v>
      </c>
      <c r="O12" s="506" t="s">
        <v>42</v>
      </c>
      <c r="P12" s="503" t="s">
        <v>41</v>
      </c>
      <c r="Q12" s="506" t="s">
        <v>43</v>
      </c>
      <c r="R12" s="503" t="s">
        <v>41</v>
      </c>
      <c r="S12" s="588"/>
      <c r="T12" s="586"/>
      <c r="U12" s="582"/>
      <c r="V12" s="582"/>
      <c r="W12" s="507">
        <v>0.5</v>
      </c>
      <c r="X12" s="50" t="s">
        <v>41</v>
      </c>
      <c r="Y12" s="507">
        <v>0.6</v>
      </c>
      <c r="Z12" s="50" t="s">
        <v>41</v>
      </c>
      <c r="AA12" s="511" t="s">
        <v>44</v>
      </c>
      <c r="AB12" s="50" t="s">
        <v>41</v>
      </c>
      <c r="AC12" s="511" t="s">
        <v>505</v>
      </c>
      <c r="AD12" s="50" t="s">
        <v>41</v>
      </c>
      <c r="AE12" s="586"/>
      <c r="AF12" s="586"/>
      <c r="AG12" s="588"/>
      <c r="AH12" s="506" t="s">
        <v>45</v>
      </c>
      <c r="AI12" s="50" t="s">
        <v>41</v>
      </c>
      <c r="AJ12" s="506" t="s">
        <v>46</v>
      </c>
      <c r="AK12" s="50" t="s">
        <v>41</v>
      </c>
      <c r="AL12" s="579"/>
      <c r="AM12" s="586"/>
      <c r="AN12" s="586"/>
      <c r="AO12" s="586"/>
      <c r="AP12" s="586"/>
      <c r="AQ12" s="547"/>
      <c r="AR12" s="547"/>
    </row>
    <row r="13" spans="1:44" s="7" customFormat="1" ht="12.75">
      <c r="A13" s="51">
        <v>1</v>
      </c>
      <c r="B13" s="52">
        <v>2</v>
      </c>
      <c r="C13" s="52">
        <v>3</v>
      </c>
      <c r="D13" s="51">
        <v>4</v>
      </c>
      <c r="E13" s="52">
        <v>5</v>
      </c>
      <c r="F13" s="143">
        <v>6</v>
      </c>
      <c r="G13" s="51">
        <v>7</v>
      </c>
      <c r="H13" s="52">
        <v>8</v>
      </c>
      <c r="I13" s="52">
        <v>9</v>
      </c>
      <c r="J13" s="51">
        <v>10</v>
      </c>
      <c r="K13" s="52">
        <v>11</v>
      </c>
      <c r="L13" s="52"/>
      <c r="M13" s="52">
        <v>12</v>
      </c>
      <c r="N13" s="51">
        <v>13</v>
      </c>
      <c r="O13" s="52">
        <v>14</v>
      </c>
      <c r="P13" s="52">
        <v>15</v>
      </c>
      <c r="Q13" s="51">
        <v>16</v>
      </c>
      <c r="R13" s="52">
        <v>17</v>
      </c>
      <c r="S13" s="52">
        <v>18</v>
      </c>
      <c r="T13" s="51">
        <v>19</v>
      </c>
      <c r="U13" s="52">
        <v>20</v>
      </c>
      <c r="V13" s="52">
        <v>20</v>
      </c>
      <c r="W13" s="52">
        <v>21</v>
      </c>
      <c r="X13" s="51">
        <v>22</v>
      </c>
      <c r="Y13" s="52">
        <v>23</v>
      </c>
      <c r="Z13" s="52">
        <v>24</v>
      </c>
      <c r="AA13" s="51">
        <v>25</v>
      </c>
      <c r="AB13" s="52">
        <v>26</v>
      </c>
      <c r="AC13" s="52">
        <v>27</v>
      </c>
      <c r="AD13" s="51">
        <v>28</v>
      </c>
      <c r="AE13" s="52">
        <v>29</v>
      </c>
      <c r="AF13" s="52">
        <v>30</v>
      </c>
      <c r="AG13" s="51">
        <v>31</v>
      </c>
      <c r="AH13" s="52">
        <v>32</v>
      </c>
      <c r="AI13" s="52">
        <v>33</v>
      </c>
      <c r="AJ13" s="52">
        <v>32</v>
      </c>
      <c r="AK13" s="52">
        <v>33</v>
      </c>
      <c r="AL13" s="51">
        <v>34</v>
      </c>
      <c r="AM13" s="52">
        <v>35</v>
      </c>
      <c r="AN13" s="52">
        <v>36</v>
      </c>
      <c r="AO13" s="51">
        <v>37</v>
      </c>
      <c r="AP13" s="52">
        <v>38</v>
      </c>
      <c r="AQ13" s="52">
        <v>39</v>
      </c>
      <c r="AR13" s="51">
        <v>40</v>
      </c>
    </row>
    <row r="14" spans="1:44" s="215" customFormat="1" ht="15" customHeight="1">
      <c r="A14" s="51">
        <v>1</v>
      </c>
      <c r="B14" s="218" t="s">
        <v>134</v>
      </c>
      <c r="C14" s="217" t="s">
        <v>71</v>
      </c>
      <c r="D14" s="64" t="s">
        <v>50</v>
      </c>
      <c r="E14" s="51" t="s">
        <v>110</v>
      </c>
      <c r="F14" s="409" t="s">
        <v>537</v>
      </c>
      <c r="G14" s="214">
        <v>4.79</v>
      </c>
      <c r="H14" s="66">
        <v>17697</v>
      </c>
      <c r="I14" s="200">
        <v>2</v>
      </c>
      <c r="J14" s="66">
        <f t="shared" ref="J14:J18" si="0">H14*G14*I14</f>
        <v>169537.26</v>
      </c>
      <c r="K14" s="200">
        <f>(M14+O14+Q14)/16</f>
        <v>1.125</v>
      </c>
      <c r="L14" s="200">
        <f t="shared" ref="L14:L20" si="1">M14+O14+Q14</f>
        <v>18</v>
      </c>
      <c r="M14" s="210"/>
      <c r="N14" s="66">
        <f t="shared" ref="N14:N18" si="2">J14/16*M14</f>
        <v>0</v>
      </c>
      <c r="O14" s="210">
        <v>18</v>
      </c>
      <c r="P14" s="66">
        <f t="shared" ref="P14:P20" si="3">J14/16*O14</f>
        <v>190729.41750000001</v>
      </c>
      <c r="Q14" s="210"/>
      <c r="R14" s="66">
        <f t="shared" ref="R14:R18" si="4">J14/16*Q14</f>
        <v>0</v>
      </c>
      <c r="S14" s="201">
        <f t="shared" ref="S14:S16" si="5">(N14+P14+R14)*25%</f>
        <v>47682.354375000003</v>
      </c>
      <c r="T14" s="66">
        <f t="shared" ref="T14:T16" si="6">N14+P14+R14+S14</f>
        <v>238411.77187500001</v>
      </c>
      <c r="U14" s="66">
        <f t="shared" ref="U14:U20" si="7">T14*10%</f>
        <v>23841.177187500001</v>
      </c>
      <c r="V14" s="66">
        <f t="shared" ref="V14:V16" si="8">T14*20%</f>
        <v>47682.354375000003</v>
      </c>
      <c r="W14" s="210"/>
      <c r="X14" s="66">
        <f t="shared" ref="X14:X16" si="9">(H14*W14)*50%</f>
        <v>0</v>
      </c>
      <c r="Y14" s="211"/>
      <c r="Z14" s="66">
        <f t="shared" ref="Z14:Z16" si="10">H14*Y14*60%</f>
        <v>0</v>
      </c>
      <c r="AA14" s="210">
        <v>18</v>
      </c>
      <c r="AB14" s="66">
        <f t="shared" ref="AB14:AB16" si="11">((H14*40%/16*AA14))</f>
        <v>7963.6500000000005</v>
      </c>
      <c r="AC14" s="211"/>
      <c r="AD14" s="66">
        <f t="shared" ref="AD14:AD15" si="12">((H14*50%/16*AC14))</f>
        <v>0</v>
      </c>
      <c r="AE14" s="212"/>
      <c r="AF14" s="212"/>
      <c r="AG14" s="66">
        <f t="shared" ref="AG14:AG16" si="13">T14*30%</f>
        <v>71523.531562499993</v>
      </c>
      <c r="AH14" s="66"/>
      <c r="AI14" s="66">
        <f t="shared" ref="AI14:AI16" si="14">((H14*20%/16*AH14))</f>
        <v>0</v>
      </c>
      <c r="AJ14" s="210"/>
      <c r="AK14" s="66">
        <f t="shared" ref="AK14:AK16" si="15">((H14*40%/16*AJ14))</f>
        <v>0</v>
      </c>
      <c r="AL14" s="210"/>
      <c r="AM14" s="213"/>
      <c r="AN14" s="213">
        <f t="shared" ref="AN14:AN15" si="16">T14*35%</f>
        <v>83444.120156249992</v>
      </c>
      <c r="AO14" s="210"/>
      <c r="AP14" s="210"/>
      <c r="AQ14" s="66">
        <f t="shared" ref="AQ14" si="17">SUM(T14:AP14)</f>
        <v>472884.60515625007</v>
      </c>
      <c r="AR14" s="66">
        <f t="shared" ref="AR14:AR16" si="18">AQ14*12/1000</f>
        <v>5674.6152618750011</v>
      </c>
    </row>
    <row r="15" spans="1:44" s="215" customFormat="1" ht="15" customHeight="1">
      <c r="A15" s="51">
        <v>2</v>
      </c>
      <c r="B15" s="81" t="s">
        <v>175</v>
      </c>
      <c r="C15" s="63" t="s">
        <v>799</v>
      </c>
      <c r="D15" s="64" t="s">
        <v>50</v>
      </c>
      <c r="E15" s="51" t="s">
        <v>110</v>
      </c>
      <c r="F15" s="261">
        <v>19.11</v>
      </c>
      <c r="G15" s="214">
        <v>5.03</v>
      </c>
      <c r="H15" s="66">
        <v>17697</v>
      </c>
      <c r="I15" s="200">
        <v>2</v>
      </c>
      <c r="J15" s="66">
        <f t="shared" si="0"/>
        <v>178031.82</v>
      </c>
      <c r="K15" s="200">
        <f>(M15+O15+Q15)/16</f>
        <v>1.125</v>
      </c>
      <c r="L15" s="200">
        <f t="shared" si="1"/>
        <v>18</v>
      </c>
      <c r="M15" s="210"/>
      <c r="N15" s="66">
        <f t="shared" si="2"/>
        <v>0</v>
      </c>
      <c r="O15" s="210">
        <v>14</v>
      </c>
      <c r="P15" s="66">
        <f t="shared" si="3"/>
        <v>155777.8425</v>
      </c>
      <c r="Q15" s="210">
        <v>4</v>
      </c>
      <c r="R15" s="66">
        <f t="shared" si="4"/>
        <v>44507.955000000002</v>
      </c>
      <c r="S15" s="201">
        <f t="shared" si="5"/>
        <v>50071.449374999997</v>
      </c>
      <c r="T15" s="66">
        <f t="shared" si="6"/>
        <v>250357.24687499998</v>
      </c>
      <c r="U15" s="66">
        <f t="shared" si="7"/>
        <v>25035.724687499998</v>
      </c>
      <c r="V15" s="66">
        <f t="shared" si="8"/>
        <v>50071.449374999997</v>
      </c>
      <c r="W15" s="210"/>
      <c r="X15" s="66">
        <f t="shared" si="9"/>
        <v>0</v>
      </c>
      <c r="Y15" s="211">
        <v>1</v>
      </c>
      <c r="Z15" s="66">
        <f t="shared" si="10"/>
        <v>10618.199999999999</v>
      </c>
      <c r="AA15" s="210">
        <v>4</v>
      </c>
      <c r="AB15" s="66">
        <f t="shared" si="11"/>
        <v>1769.7</v>
      </c>
      <c r="AC15" s="211"/>
      <c r="AD15" s="66">
        <f t="shared" si="12"/>
        <v>0</v>
      </c>
      <c r="AE15" s="212"/>
      <c r="AF15" s="212"/>
      <c r="AG15" s="66">
        <f t="shared" si="13"/>
        <v>75107.174062499995</v>
      </c>
      <c r="AH15" s="66"/>
      <c r="AI15" s="66">
        <f t="shared" si="14"/>
        <v>0</v>
      </c>
      <c r="AJ15" s="210">
        <v>2</v>
      </c>
      <c r="AK15" s="66">
        <f t="shared" si="15"/>
        <v>884.85</v>
      </c>
      <c r="AL15" s="210"/>
      <c r="AM15" s="213"/>
      <c r="AN15" s="213">
        <f t="shared" si="16"/>
        <v>87625.036406249987</v>
      </c>
      <c r="AO15" s="210"/>
      <c r="AP15" s="210"/>
      <c r="AQ15" s="66">
        <f t="shared" ref="AQ15" si="19">SUM(T15:AP15)</f>
        <v>501476.38140624994</v>
      </c>
      <c r="AR15" s="66">
        <f t="shared" si="18"/>
        <v>6017.7165768749992</v>
      </c>
    </row>
    <row r="16" spans="1:44" s="215" customFormat="1" ht="15" customHeight="1">
      <c r="A16" s="51">
        <v>3</v>
      </c>
      <c r="B16" s="216" t="s">
        <v>139</v>
      </c>
      <c r="C16" s="217" t="s">
        <v>140</v>
      </c>
      <c r="D16" s="64" t="s">
        <v>50</v>
      </c>
      <c r="E16" s="51" t="s">
        <v>127</v>
      </c>
      <c r="F16" s="408" t="s">
        <v>531</v>
      </c>
      <c r="G16" s="214">
        <v>4.99</v>
      </c>
      <c r="H16" s="66">
        <v>17697</v>
      </c>
      <c r="I16" s="200">
        <v>2</v>
      </c>
      <c r="J16" s="66">
        <f t="shared" si="0"/>
        <v>176616.06</v>
      </c>
      <c r="K16" s="200">
        <f t="shared" ref="K16" si="20">(M16+O16+Q16)/16</f>
        <v>1.125</v>
      </c>
      <c r="L16" s="200">
        <f t="shared" si="1"/>
        <v>18</v>
      </c>
      <c r="M16" s="210"/>
      <c r="N16" s="66">
        <f t="shared" si="2"/>
        <v>0</v>
      </c>
      <c r="O16" s="210">
        <v>12</v>
      </c>
      <c r="P16" s="66">
        <f t="shared" si="3"/>
        <v>132462.04499999998</v>
      </c>
      <c r="Q16" s="210">
        <v>6</v>
      </c>
      <c r="R16" s="66">
        <f t="shared" si="4"/>
        <v>66231.022499999992</v>
      </c>
      <c r="S16" s="201">
        <f t="shared" si="5"/>
        <v>49673.266874999994</v>
      </c>
      <c r="T16" s="66">
        <f t="shared" si="6"/>
        <v>248366.33437499998</v>
      </c>
      <c r="U16" s="66">
        <f t="shared" si="7"/>
        <v>24836.633437500001</v>
      </c>
      <c r="V16" s="66">
        <f t="shared" si="8"/>
        <v>49673.266875000001</v>
      </c>
      <c r="W16" s="210"/>
      <c r="X16" s="66">
        <f t="shared" si="9"/>
        <v>0</v>
      </c>
      <c r="Y16" s="211">
        <v>1</v>
      </c>
      <c r="Z16" s="66">
        <f t="shared" si="10"/>
        <v>10618.199999999999</v>
      </c>
      <c r="AA16" s="210">
        <v>16</v>
      </c>
      <c r="AB16" s="66">
        <f t="shared" si="11"/>
        <v>7078.8</v>
      </c>
      <c r="AC16" s="211"/>
      <c r="AD16" s="66">
        <f t="shared" ref="AD16" si="21">((H16*40%/16*AC16))</f>
        <v>0</v>
      </c>
      <c r="AE16" s="212"/>
      <c r="AF16" s="212"/>
      <c r="AG16" s="66">
        <f t="shared" si="13"/>
        <v>74509.900312499987</v>
      </c>
      <c r="AH16" s="66"/>
      <c r="AI16" s="66">
        <f t="shared" si="14"/>
        <v>0</v>
      </c>
      <c r="AJ16" s="210">
        <v>2</v>
      </c>
      <c r="AK16" s="66">
        <f t="shared" si="15"/>
        <v>884.85</v>
      </c>
      <c r="AL16" s="210"/>
      <c r="AM16" s="213">
        <f t="shared" ref="AM16" si="22">T16*30%</f>
        <v>74509.900312499987</v>
      </c>
      <c r="AN16" s="210"/>
      <c r="AO16" s="210"/>
      <c r="AP16" s="210"/>
      <c r="AQ16" s="66">
        <f t="shared" ref="AQ16" si="23">SUM(T16:AP16)</f>
        <v>490496.88531249983</v>
      </c>
      <c r="AR16" s="66">
        <f t="shared" si="18"/>
        <v>5885.9626237499979</v>
      </c>
    </row>
    <row r="17" spans="1:44" s="215" customFormat="1" ht="15" customHeight="1">
      <c r="A17" s="51">
        <v>4</v>
      </c>
      <c r="B17" s="216" t="s">
        <v>138</v>
      </c>
      <c r="C17" s="217" t="s">
        <v>57</v>
      </c>
      <c r="D17" s="64" t="s">
        <v>50</v>
      </c>
      <c r="E17" s="51" t="s">
        <v>127</v>
      </c>
      <c r="F17" s="408" t="s">
        <v>546</v>
      </c>
      <c r="G17" s="214">
        <v>4.66</v>
      </c>
      <c r="H17" s="66">
        <v>17697</v>
      </c>
      <c r="I17" s="200">
        <v>2</v>
      </c>
      <c r="J17" s="66">
        <f t="shared" si="0"/>
        <v>164936.04</v>
      </c>
      <c r="K17" s="200">
        <f t="shared" ref="K17" si="24">(M17+O17+Q17)/16</f>
        <v>0.8125</v>
      </c>
      <c r="L17" s="200">
        <f t="shared" si="1"/>
        <v>13</v>
      </c>
      <c r="M17" s="210"/>
      <c r="N17" s="66">
        <f t="shared" si="2"/>
        <v>0</v>
      </c>
      <c r="O17" s="210">
        <v>11</v>
      </c>
      <c r="P17" s="66">
        <f t="shared" si="3"/>
        <v>113393.52750000001</v>
      </c>
      <c r="Q17" s="210">
        <v>2</v>
      </c>
      <c r="R17" s="66">
        <f t="shared" si="4"/>
        <v>20617.005000000001</v>
      </c>
      <c r="S17" s="201">
        <f t="shared" ref="S17:S18" si="25">(N17+P17+R17)*25%</f>
        <v>33502.633125</v>
      </c>
      <c r="T17" s="66">
        <f t="shared" ref="T17:T18" si="26">N17+P17+R17+S17</f>
        <v>167513.16562499999</v>
      </c>
      <c r="U17" s="66">
        <f t="shared" si="7"/>
        <v>16751.3165625</v>
      </c>
      <c r="V17" s="66">
        <f t="shared" ref="V17:V18" si="27">T17*20%</f>
        <v>33502.633125</v>
      </c>
      <c r="W17" s="210"/>
      <c r="X17" s="66">
        <f t="shared" ref="X17:X20" si="28">(H17*W17)*50%</f>
        <v>0</v>
      </c>
      <c r="Y17" s="211">
        <v>1</v>
      </c>
      <c r="Z17" s="66">
        <f t="shared" ref="Z17:Z20" si="29">H17*Y17*60%</f>
        <v>10618.199999999999</v>
      </c>
      <c r="AA17" s="210">
        <v>1</v>
      </c>
      <c r="AB17" s="66">
        <f t="shared" ref="AB17:AB20" si="30">((H17*40%/16*AA17))</f>
        <v>442.42500000000001</v>
      </c>
      <c r="AC17" s="211"/>
      <c r="AD17" s="66">
        <f t="shared" ref="AD17:AD20" si="31">((H17*40%/16*AC17))</f>
        <v>0</v>
      </c>
      <c r="AE17" s="212"/>
      <c r="AF17" s="212"/>
      <c r="AG17" s="66">
        <f t="shared" ref="AG17:AG20" si="32">T17*30%</f>
        <v>50253.949687499997</v>
      </c>
      <c r="AH17" s="66"/>
      <c r="AI17" s="66">
        <f t="shared" ref="AI17:AI20" si="33">((H17*20%/16*AH17))</f>
        <v>0</v>
      </c>
      <c r="AJ17" s="210"/>
      <c r="AK17" s="66">
        <f t="shared" ref="AK17:AK20" si="34">((H17*40%/16*AJ17))</f>
        <v>0</v>
      </c>
      <c r="AL17" s="210"/>
      <c r="AM17" s="213">
        <f t="shared" ref="AM17:AM18" si="35">T17*30%</f>
        <v>50253.949687499997</v>
      </c>
      <c r="AN17" s="210"/>
      <c r="AO17" s="210"/>
      <c r="AP17" s="210"/>
      <c r="AQ17" s="66">
        <f t="shared" ref="AQ17" si="36">SUM(T17:AP17)</f>
        <v>329337.63968750002</v>
      </c>
      <c r="AR17" s="66">
        <f t="shared" ref="AR17:AR18" si="37">AQ17*12/1000</f>
        <v>3952.0516762500006</v>
      </c>
    </row>
    <row r="18" spans="1:44" s="215" customFormat="1" ht="15" customHeight="1">
      <c r="A18" s="51">
        <v>5</v>
      </c>
      <c r="B18" s="216" t="s">
        <v>864</v>
      </c>
      <c r="C18" s="217" t="s">
        <v>71</v>
      </c>
      <c r="D18" s="64" t="s">
        <v>50</v>
      </c>
      <c r="E18" s="51" t="s">
        <v>127</v>
      </c>
      <c r="F18" s="411">
        <v>3.07</v>
      </c>
      <c r="G18" s="214">
        <v>4.59</v>
      </c>
      <c r="H18" s="66">
        <v>17697</v>
      </c>
      <c r="I18" s="200">
        <v>2</v>
      </c>
      <c r="J18" s="66">
        <f t="shared" si="0"/>
        <v>162458.46</v>
      </c>
      <c r="K18" s="200">
        <f t="shared" ref="K18" si="38">(M18+O18+Q18)/16</f>
        <v>0.4375</v>
      </c>
      <c r="L18" s="200">
        <f t="shared" si="1"/>
        <v>7</v>
      </c>
      <c r="M18" s="210"/>
      <c r="N18" s="66">
        <f t="shared" si="2"/>
        <v>0</v>
      </c>
      <c r="O18" s="210">
        <v>7</v>
      </c>
      <c r="P18" s="66">
        <f t="shared" si="3"/>
        <v>71075.576249999998</v>
      </c>
      <c r="Q18" s="210"/>
      <c r="R18" s="66">
        <f t="shared" si="4"/>
        <v>0</v>
      </c>
      <c r="S18" s="201">
        <f t="shared" si="25"/>
        <v>17768.8940625</v>
      </c>
      <c r="T18" s="66">
        <f t="shared" si="26"/>
        <v>88844.470312499994</v>
      </c>
      <c r="U18" s="66">
        <f t="shared" si="7"/>
        <v>8884.4470312499998</v>
      </c>
      <c r="V18" s="66">
        <f t="shared" si="27"/>
        <v>17768.8940625</v>
      </c>
      <c r="W18" s="210"/>
      <c r="X18" s="66">
        <f t="shared" si="28"/>
        <v>0</v>
      </c>
      <c r="Y18" s="211">
        <v>1</v>
      </c>
      <c r="Z18" s="66">
        <f t="shared" si="29"/>
        <v>10618.199999999999</v>
      </c>
      <c r="AA18" s="210">
        <v>7</v>
      </c>
      <c r="AB18" s="66">
        <f t="shared" si="30"/>
        <v>3096.9749999999999</v>
      </c>
      <c r="AC18" s="211"/>
      <c r="AD18" s="66">
        <f t="shared" si="31"/>
        <v>0</v>
      </c>
      <c r="AE18" s="212"/>
      <c r="AF18" s="212"/>
      <c r="AG18" s="66">
        <f t="shared" si="32"/>
        <v>26653.341093749998</v>
      </c>
      <c r="AH18" s="66"/>
      <c r="AI18" s="66">
        <f t="shared" si="33"/>
        <v>0</v>
      </c>
      <c r="AJ18" s="210">
        <v>7</v>
      </c>
      <c r="AK18" s="66">
        <f t="shared" si="34"/>
        <v>3096.9749999999999</v>
      </c>
      <c r="AL18" s="210"/>
      <c r="AM18" s="213">
        <f t="shared" si="35"/>
        <v>26653.341093749998</v>
      </c>
      <c r="AN18" s="210"/>
      <c r="AO18" s="210"/>
      <c r="AP18" s="210"/>
      <c r="AQ18" s="66">
        <f t="shared" ref="AQ18" si="39">SUM(T18:AP18)</f>
        <v>185631.64359374999</v>
      </c>
      <c r="AR18" s="66">
        <f t="shared" si="37"/>
        <v>2227.5797231249999</v>
      </c>
    </row>
    <row r="19" spans="1:44" s="215" customFormat="1" ht="15" customHeight="1">
      <c r="A19" s="51">
        <v>6</v>
      </c>
      <c r="B19" s="216" t="s">
        <v>148</v>
      </c>
      <c r="C19" s="217" t="s">
        <v>65</v>
      </c>
      <c r="D19" s="64" t="s">
        <v>50</v>
      </c>
      <c r="E19" s="51" t="s">
        <v>146</v>
      </c>
      <c r="F19" s="408" t="s">
        <v>552</v>
      </c>
      <c r="G19" s="214">
        <v>4.38</v>
      </c>
      <c r="H19" s="66">
        <v>17697</v>
      </c>
      <c r="I19" s="200">
        <v>2</v>
      </c>
      <c r="J19" s="66">
        <f t="shared" ref="J19:J20" si="40">H19*G19*I19</f>
        <v>155025.72</v>
      </c>
      <c r="K19" s="200">
        <f t="shared" ref="K19:K20" si="41">(M19+O19+Q19)/16</f>
        <v>0</v>
      </c>
      <c r="L19" s="200">
        <f>M19+O19+Q19</f>
        <v>0</v>
      </c>
      <c r="M19" s="210"/>
      <c r="N19" s="66">
        <f t="shared" ref="N19:N20" si="42">J19/16*M19</f>
        <v>0</v>
      </c>
      <c r="O19" s="210"/>
      <c r="P19" s="66">
        <f t="shared" si="3"/>
        <v>0</v>
      </c>
      <c r="Q19" s="210"/>
      <c r="R19" s="66">
        <f t="shared" ref="R19:R20" si="43">J19/16*Q19</f>
        <v>0</v>
      </c>
      <c r="S19" s="201">
        <f t="shared" ref="S19:S20" si="44">(N19+P19+R19)*25%</f>
        <v>0</v>
      </c>
      <c r="T19" s="66">
        <f t="shared" ref="T19:T20" si="45">N19+P19+R19+S19</f>
        <v>0</v>
      </c>
      <c r="U19" s="66">
        <f t="shared" si="7"/>
        <v>0</v>
      </c>
      <c r="V19" s="66">
        <f t="shared" ref="V19:V20" si="46">T19*20%</f>
        <v>0</v>
      </c>
      <c r="W19" s="210"/>
      <c r="X19" s="66">
        <f t="shared" si="28"/>
        <v>0</v>
      </c>
      <c r="Y19" s="211"/>
      <c r="Z19" s="66">
        <f t="shared" si="29"/>
        <v>0</v>
      </c>
      <c r="AA19" s="210"/>
      <c r="AB19" s="66">
        <f t="shared" si="30"/>
        <v>0</v>
      </c>
      <c r="AC19" s="211"/>
      <c r="AD19" s="66">
        <f t="shared" si="31"/>
        <v>0</v>
      </c>
      <c r="AE19" s="212"/>
      <c r="AF19" s="212"/>
      <c r="AG19" s="66">
        <f t="shared" si="32"/>
        <v>0</v>
      </c>
      <c r="AH19" s="66"/>
      <c r="AI19" s="66">
        <f t="shared" si="33"/>
        <v>0</v>
      </c>
      <c r="AJ19" s="210"/>
      <c r="AK19" s="66">
        <f t="shared" si="34"/>
        <v>0</v>
      </c>
      <c r="AL19" s="210"/>
      <c r="AM19" s="213"/>
      <c r="AN19" s="210"/>
      <c r="AO19" s="210"/>
      <c r="AP19" s="210"/>
      <c r="AQ19" s="66">
        <f t="shared" ref="AQ19:AQ20" si="47">SUM(T19:AP19)</f>
        <v>0</v>
      </c>
      <c r="AR19" s="66">
        <f t="shared" ref="AR19:AR20" si="48">AQ19*12/1000</f>
        <v>0</v>
      </c>
    </row>
    <row r="20" spans="1:44" s="215" customFormat="1" ht="15" customHeight="1">
      <c r="A20" s="51">
        <v>7</v>
      </c>
      <c r="B20" s="79" t="s">
        <v>172</v>
      </c>
      <c r="C20" s="63" t="s">
        <v>85</v>
      </c>
      <c r="D20" s="64" t="s">
        <v>50</v>
      </c>
      <c r="E20" s="51" t="s">
        <v>146</v>
      </c>
      <c r="F20" s="413">
        <v>10</v>
      </c>
      <c r="G20" s="223">
        <v>4.38</v>
      </c>
      <c r="H20" s="66">
        <v>17697</v>
      </c>
      <c r="I20" s="200">
        <v>2</v>
      </c>
      <c r="J20" s="66">
        <f t="shared" si="40"/>
        <v>155025.72</v>
      </c>
      <c r="K20" s="200">
        <f t="shared" si="41"/>
        <v>1</v>
      </c>
      <c r="L20" s="200">
        <f t="shared" si="1"/>
        <v>16</v>
      </c>
      <c r="M20" s="210">
        <v>7</v>
      </c>
      <c r="N20" s="66">
        <f t="shared" si="42"/>
        <v>67823.752500000002</v>
      </c>
      <c r="O20" s="210">
        <v>8</v>
      </c>
      <c r="P20" s="66">
        <f t="shared" si="3"/>
        <v>77512.86</v>
      </c>
      <c r="Q20" s="210">
        <v>1</v>
      </c>
      <c r="R20" s="66">
        <f t="shared" si="43"/>
        <v>9689.1075000000001</v>
      </c>
      <c r="S20" s="201">
        <f t="shared" si="44"/>
        <v>38756.43</v>
      </c>
      <c r="T20" s="66">
        <f t="shared" si="45"/>
        <v>193782.15</v>
      </c>
      <c r="U20" s="66">
        <f t="shared" si="7"/>
        <v>19378.215</v>
      </c>
      <c r="V20" s="66">
        <f t="shared" si="46"/>
        <v>38756.43</v>
      </c>
      <c r="W20" s="210"/>
      <c r="X20" s="66">
        <f t="shared" si="28"/>
        <v>0</v>
      </c>
      <c r="Y20" s="211">
        <v>1</v>
      </c>
      <c r="Z20" s="66">
        <f t="shared" si="29"/>
        <v>10618.199999999999</v>
      </c>
      <c r="AA20" s="210">
        <v>15</v>
      </c>
      <c r="AB20" s="66">
        <f t="shared" si="30"/>
        <v>6636.375</v>
      </c>
      <c r="AC20" s="211"/>
      <c r="AD20" s="66">
        <f t="shared" si="31"/>
        <v>0</v>
      </c>
      <c r="AE20" s="212"/>
      <c r="AF20" s="212"/>
      <c r="AG20" s="66">
        <f t="shared" si="32"/>
        <v>58134.644999999997</v>
      </c>
      <c r="AH20" s="66"/>
      <c r="AI20" s="66">
        <f t="shared" si="33"/>
        <v>0</v>
      </c>
      <c r="AJ20" s="210">
        <v>6</v>
      </c>
      <c r="AK20" s="66">
        <f t="shared" si="34"/>
        <v>2654.55</v>
      </c>
      <c r="AL20" s="210"/>
      <c r="AM20" s="213"/>
      <c r="AN20" s="210"/>
      <c r="AO20" s="210"/>
      <c r="AP20" s="210"/>
      <c r="AQ20" s="66">
        <f t="shared" si="47"/>
        <v>329982.565</v>
      </c>
      <c r="AR20" s="66">
        <f t="shared" si="48"/>
        <v>3959.7907800000003</v>
      </c>
    </row>
    <row r="21" spans="1:44" s="76" customFormat="1" ht="15" customHeight="1">
      <c r="A21" s="259"/>
      <c r="B21" s="70"/>
      <c r="C21" s="70"/>
      <c r="D21" s="70"/>
      <c r="E21" s="70"/>
      <c r="F21" s="71"/>
      <c r="G21" s="72"/>
      <c r="H21" s="73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</row>
    <row r="22" spans="1:44">
      <c r="A22" s="82"/>
      <c r="H22" s="84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</row>
    <row r="23" spans="1:44">
      <c r="A23" s="82"/>
      <c r="H23" s="84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</row>
    <row r="24" spans="1:44">
      <c r="A24" s="82"/>
      <c r="H24" s="84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</row>
    <row r="25" spans="1:44" ht="22.5" customHeight="1">
      <c r="A25" s="82"/>
      <c r="B25" s="575" t="s">
        <v>507</v>
      </c>
      <c r="C25" s="575"/>
      <c r="D25" s="575"/>
      <c r="E25" s="575"/>
      <c r="F25" s="575"/>
      <c r="I25" s="592" t="s">
        <v>381</v>
      </c>
      <c r="J25" s="533"/>
      <c r="K25" s="533"/>
      <c r="L25" s="533"/>
      <c r="M25" s="533"/>
      <c r="N25" s="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</row>
    <row r="26" spans="1:44">
      <c r="A26" s="82"/>
      <c r="B26" s="187"/>
      <c r="C26" s="43"/>
      <c r="F26" s="82"/>
      <c r="K26" s="186"/>
      <c r="L26" s="186"/>
      <c r="M26" s="2"/>
      <c r="N26" s="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</row>
    <row r="27" spans="1:44" ht="25.5" customHeight="1">
      <c r="A27" s="82"/>
      <c r="B27" s="576"/>
      <c r="C27" s="576"/>
      <c r="D27" s="576"/>
      <c r="E27" s="576"/>
      <c r="F27" s="576"/>
      <c r="G27" s="576"/>
      <c r="K27" s="573"/>
      <c r="L27" s="573"/>
      <c r="M27" s="574"/>
      <c r="N27" s="574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</row>
  </sheetData>
  <mergeCells count="42">
    <mergeCell ref="B25:F25"/>
    <mergeCell ref="I25:M25"/>
    <mergeCell ref="B27:G27"/>
    <mergeCell ref="K27:N27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AC2:AE2"/>
    <mergeCell ref="AC3:AI3"/>
    <mergeCell ref="AC5:AG5"/>
    <mergeCell ref="A8:AR8"/>
    <mergeCell ref="AJ9:AQ9"/>
    <mergeCell ref="A10:A12"/>
    <mergeCell ref="B10:B12"/>
    <mergeCell ref="C10:C12"/>
    <mergeCell ref="D10:D12"/>
    <mergeCell ref="E10:E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AR24"/>
  <sheetViews>
    <sheetView view="pageBreakPreview" zoomScale="90" zoomScaleNormal="76" zoomScaleSheetLayoutView="90" workbookViewId="0">
      <selection activeCell="A16" sqref="A16:XFD16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8" style="82" customWidth="1"/>
    <col min="6" max="6" width="8.7109375" style="145" customWidth="1"/>
    <col min="7" max="7" width="6.7109375" style="198" customWidth="1"/>
    <col min="8" max="8" width="7.28515625" style="91" customWidth="1"/>
    <col min="9" max="9" width="6.85546875" style="85" customWidth="1"/>
    <col min="10" max="10" width="9.5703125" style="86" customWidth="1"/>
    <col min="11" max="11" width="7.85546875" style="87" customWidth="1"/>
    <col min="12" max="12" width="7.85546875" style="87" hidden="1" customWidth="1"/>
    <col min="13" max="13" width="5.85546875" style="87" customWidth="1"/>
    <col min="14" max="14" width="9.7109375" style="86" customWidth="1"/>
    <col min="15" max="15" width="7.5703125" style="12" customWidth="1"/>
    <col min="16" max="16" width="10" style="86" customWidth="1"/>
    <col min="17" max="17" width="6.42578125" style="12" customWidth="1"/>
    <col min="18" max="18" width="10.5703125" style="86" customWidth="1"/>
    <col min="19" max="19" width="9.5703125" style="87" customWidth="1"/>
    <col min="20" max="20" width="9.42578125" style="86" customWidth="1"/>
    <col min="21" max="21" width="9.140625" style="88" customWidth="1"/>
    <col min="22" max="22" width="9.5703125" style="88" customWidth="1"/>
    <col min="23" max="23" width="6.140625" style="87" customWidth="1"/>
    <col min="24" max="24" width="7.5703125" style="86" customWidth="1"/>
    <col min="25" max="25" width="6.7109375" style="89" customWidth="1"/>
    <col min="26" max="26" width="8.28515625" style="86" customWidth="1"/>
    <col min="27" max="27" width="6" style="87" customWidth="1"/>
    <col min="28" max="28" width="8.28515625" style="86" customWidth="1"/>
    <col min="29" max="29" width="6.140625" style="89" customWidth="1"/>
    <col min="30" max="30" width="8.140625" style="86" customWidth="1"/>
    <col min="31" max="31" width="7.85546875" style="86" customWidth="1"/>
    <col min="32" max="32" width="6.85546875" style="86" customWidth="1"/>
    <col min="33" max="33" width="9.28515625" style="87" customWidth="1"/>
    <col min="34" max="34" width="6" style="90" customWidth="1"/>
    <col min="35" max="35" width="8" style="87" customWidth="1"/>
    <col min="36" max="36" width="6.140625" style="258" customWidth="1"/>
    <col min="37" max="37" width="8" style="87" customWidth="1"/>
    <col min="38" max="38" width="7.85546875" style="87" customWidth="1"/>
    <col min="39" max="39" width="9.140625" style="87" customWidth="1"/>
    <col min="40" max="40" width="8.42578125" style="87" customWidth="1"/>
    <col min="41" max="41" width="9" style="87" customWidth="1"/>
    <col min="42" max="42" width="8.140625" style="87" customWidth="1"/>
    <col min="43" max="43" width="10.140625" style="86" customWidth="1"/>
    <col min="44" max="44" width="9" style="86" customWidth="1"/>
    <col min="45" max="16384" width="9.140625" style="82"/>
  </cols>
  <sheetData>
    <row r="2" spans="1:44" s="7" customFormat="1">
      <c r="A2" s="6"/>
      <c r="B2" s="2"/>
      <c r="C2" s="1"/>
      <c r="D2" s="1"/>
      <c r="E2" s="3"/>
      <c r="F2" s="519"/>
      <c r="G2" s="193"/>
      <c r="H2" s="4"/>
      <c r="I2" s="5"/>
      <c r="J2" s="6"/>
      <c r="P2" s="521" t="s">
        <v>0</v>
      </c>
      <c r="Q2" s="521"/>
      <c r="R2" s="521"/>
      <c r="U2" s="8"/>
      <c r="Z2" s="6"/>
      <c r="AA2" s="514"/>
      <c r="AB2" s="514"/>
      <c r="AC2" s="593"/>
      <c r="AD2" s="593"/>
      <c r="AE2" s="593"/>
      <c r="AH2" s="8"/>
      <c r="AI2" s="8"/>
      <c r="AJ2" s="254"/>
      <c r="AK2" s="6"/>
      <c r="AL2" s="6"/>
      <c r="AM2" s="6"/>
      <c r="AN2" s="6"/>
      <c r="AO2" s="8"/>
      <c r="AP2" s="9"/>
      <c r="AQ2" s="8"/>
      <c r="AR2" s="9"/>
    </row>
    <row r="3" spans="1:44" s="7" customFormat="1">
      <c r="A3" s="6"/>
      <c r="B3" s="2"/>
      <c r="C3" s="1"/>
      <c r="D3" s="1"/>
      <c r="E3" s="3"/>
      <c r="F3" s="519"/>
      <c r="G3" s="193"/>
      <c r="H3" s="4"/>
      <c r="I3" s="5"/>
      <c r="J3" s="6"/>
      <c r="P3" s="520" t="s">
        <v>790</v>
      </c>
      <c r="Q3" s="520"/>
      <c r="R3" s="520"/>
      <c r="S3" s="520"/>
      <c r="T3" s="520"/>
      <c r="U3" s="520"/>
      <c r="Z3" s="6"/>
      <c r="AA3" s="1"/>
      <c r="AB3" s="1"/>
      <c r="AC3" s="584"/>
      <c r="AD3" s="584"/>
      <c r="AE3" s="584"/>
      <c r="AF3" s="584"/>
      <c r="AG3" s="584"/>
      <c r="AH3" s="584"/>
      <c r="AI3" s="584"/>
      <c r="AJ3" s="254"/>
      <c r="AK3" s="6"/>
      <c r="AL3" s="6"/>
      <c r="AM3" s="6"/>
      <c r="AN3" s="6"/>
      <c r="AO3" s="8"/>
      <c r="AP3" s="9"/>
      <c r="AQ3" s="8"/>
      <c r="AR3" s="9"/>
    </row>
    <row r="4" spans="1:44" s="7" customFormat="1">
      <c r="A4" s="6"/>
      <c r="B4" s="2"/>
      <c r="C4" s="1"/>
      <c r="D4" s="1"/>
      <c r="E4" s="3"/>
      <c r="F4" s="519"/>
      <c r="G4" s="193"/>
      <c r="H4" s="4"/>
      <c r="I4" s="5"/>
      <c r="J4" s="6"/>
      <c r="P4" s="521" t="s">
        <v>791</v>
      </c>
      <c r="Q4" s="11"/>
      <c r="R4" s="11"/>
      <c r="S4" s="11"/>
      <c r="U4" s="6"/>
      <c r="Z4" s="9"/>
      <c r="AA4" s="521"/>
      <c r="AB4" s="11"/>
      <c r="AC4" s="521"/>
      <c r="AD4" s="11"/>
      <c r="AE4" s="11"/>
      <c r="AF4" s="11"/>
      <c r="AH4" s="6"/>
      <c r="AJ4" s="254"/>
      <c r="AK4" s="6"/>
      <c r="AL4" s="6"/>
      <c r="AM4" s="6"/>
      <c r="AN4" s="6"/>
      <c r="AO4" s="12"/>
      <c r="AP4" s="9"/>
      <c r="AQ4" s="12"/>
      <c r="AR4" s="9"/>
    </row>
    <row r="5" spans="1:44" s="7" customFormat="1" ht="17.25" customHeight="1">
      <c r="A5" s="6"/>
      <c r="B5" s="2"/>
      <c r="C5" s="1"/>
      <c r="D5" s="1"/>
      <c r="E5" s="3"/>
      <c r="F5" s="519"/>
      <c r="G5" s="193"/>
      <c r="H5" s="4"/>
      <c r="I5" s="5"/>
      <c r="J5" s="6"/>
      <c r="P5" s="420" t="s">
        <v>869</v>
      </c>
      <c r="Q5" s="515"/>
      <c r="R5" s="515"/>
      <c r="S5" s="515"/>
      <c r="T5" s="515"/>
      <c r="U5" s="14"/>
      <c r="Z5" s="13" t="s">
        <v>1</v>
      </c>
      <c r="AA5" s="514"/>
      <c r="AB5" s="514"/>
      <c r="AC5" s="577"/>
      <c r="AD5" s="578"/>
      <c r="AE5" s="578"/>
      <c r="AF5" s="578"/>
      <c r="AG5" s="578"/>
      <c r="AH5" s="14"/>
      <c r="AJ5" s="254"/>
      <c r="AK5" s="6"/>
      <c r="AL5" s="6"/>
      <c r="AM5" s="6"/>
      <c r="AN5" s="6"/>
      <c r="AO5" s="12"/>
      <c r="AP5" s="9"/>
      <c r="AQ5" s="12"/>
      <c r="AR5" s="9"/>
    </row>
    <row r="6" spans="1:44" s="7" customFormat="1">
      <c r="A6" s="6"/>
      <c r="B6" s="2"/>
      <c r="C6" s="1"/>
      <c r="D6" s="1"/>
      <c r="E6" s="3"/>
      <c r="F6" s="519"/>
      <c r="G6" s="193"/>
      <c r="H6" s="4"/>
      <c r="I6" s="5"/>
      <c r="J6" s="6"/>
      <c r="P6" s="420"/>
      <c r="Q6" s="2"/>
      <c r="R6" s="2"/>
      <c r="S6" s="2"/>
      <c r="T6" s="15"/>
      <c r="U6" s="15"/>
      <c r="Z6" s="9"/>
      <c r="AA6" s="514"/>
      <c r="AB6" s="2"/>
      <c r="AC6" s="514"/>
      <c r="AD6" s="2"/>
      <c r="AE6" s="2"/>
      <c r="AF6" s="2"/>
      <c r="AG6" s="15"/>
      <c r="AH6" s="15"/>
      <c r="AJ6" s="254"/>
      <c r="AK6" s="6"/>
      <c r="AL6" s="6"/>
      <c r="AM6" s="6"/>
      <c r="AN6" s="6"/>
      <c r="AO6" s="12"/>
      <c r="AP6" s="9"/>
      <c r="AQ6" s="12"/>
      <c r="AR6" s="9"/>
    </row>
    <row r="7" spans="1:44" s="7" customFormat="1" ht="17.25" customHeight="1">
      <c r="A7" s="6"/>
      <c r="F7" s="141"/>
      <c r="G7" s="196"/>
      <c r="H7" s="3"/>
      <c r="I7" s="6"/>
      <c r="J7" s="6"/>
      <c r="K7" s="9"/>
      <c r="L7" s="9"/>
      <c r="M7" s="6"/>
      <c r="N7" s="6"/>
      <c r="O7" s="6"/>
      <c r="P7" s="6"/>
      <c r="Q7" s="6"/>
      <c r="R7" s="6"/>
      <c r="S7" s="6"/>
      <c r="T7" s="6"/>
      <c r="U7" s="6"/>
      <c r="V7" s="6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8"/>
      <c r="AI7" s="8"/>
      <c r="AJ7" s="257"/>
      <c r="AK7" s="8"/>
      <c r="AL7" s="8"/>
      <c r="AM7" s="8"/>
      <c r="AN7" s="8"/>
      <c r="AO7" s="8"/>
      <c r="AP7" s="8"/>
      <c r="AQ7" s="35"/>
      <c r="AR7" s="32"/>
    </row>
    <row r="8" spans="1:44" s="9" customFormat="1" ht="35.25" customHeight="1">
      <c r="A8" s="583" t="s">
        <v>868</v>
      </c>
      <c r="B8" s="584"/>
      <c r="C8" s="584"/>
      <c r="D8" s="584"/>
      <c r="E8" s="584"/>
      <c r="F8" s="584"/>
      <c r="G8" s="584"/>
      <c r="H8" s="584"/>
      <c r="I8" s="584"/>
      <c r="J8" s="584"/>
      <c r="K8" s="584"/>
      <c r="L8" s="584"/>
      <c r="M8" s="584"/>
      <c r="N8" s="584"/>
      <c r="O8" s="584"/>
      <c r="P8" s="584"/>
      <c r="Q8" s="584"/>
      <c r="R8" s="584"/>
      <c r="S8" s="584"/>
      <c r="T8" s="584"/>
      <c r="U8" s="584"/>
      <c r="V8" s="584"/>
      <c r="W8" s="584"/>
      <c r="X8" s="584"/>
      <c r="Y8" s="584"/>
      <c r="Z8" s="584"/>
      <c r="AA8" s="584"/>
      <c r="AB8" s="584"/>
      <c r="AC8" s="584"/>
      <c r="AD8" s="584"/>
      <c r="AE8" s="584"/>
      <c r="AF8" s="584"/>
      <c r="AG8" s="584"/>
      <c r="AH8" s="584"/>
      <c r="AI8" s="584"/>
      <c r="AJ8" s="584"/>
      <c r="AK8" s="584"/>
      <c r="AL8" s="584"/>
      <c r="AM8" s="584"/>
      <c r="AN8" s="584"/>
      <c r="AO8" s="584"/>
      <c r="AP8" s="584"/>
      <c r="AQ8" s="584"/>
      <c r="AR8" s="584"/>
    </row>
    <row r="9" spans="1:44" s="7" customFormat="1" ht="14.25" customHeight="1">
      <c r="A9" s="42"/>
      <c r="B9" s="43"/>
      <c r="C9" s="43"/>
      <c r="D9" s="42"/>
      <c r="E9" s="42"/>
      <c r="F9" s="142"/>
      <c r="G9" s="197"/>
      <c r="H9" s="44"/>
      <c r="I9" s="42"/>
      <c r="J9" s="45"/>
      <c r="K9" s="46"/>
      <c r="L9" s="46"/>
      <c r="M9" s="46"/>
      <c r="N9" s="45"/>
      <c r="O9" s="46"/>
      <c r="P9" s="47"/>
      <c r="Q9" s="46"/>
      <c r="R9" s="47"/>
      <c r="S9" s="46"/>
      <c r="T9" s="45"/>
      <c r="U9" s="46"/>
      <c r="V9" s="46"/>
      <c r="W9" s="46"/>
      <c r="X9" s="45"/>
      <c r="Y9" s="48"/>
      <c r="Z9" s="45"/>
      <c r="AA9" s="46"/>
      <c r="AB9" s="45"/>
      <c r="AC9" s="48"/>
      <c r="AD9" s="45"/>
      <c r="AE9" s="45"/>
      <c r="AF9" s="45"/>
      <c r="AG9" s="46"/>
      <c r="AH9" s="46"/>
      <c r="AI9" s="46"/>
      <c r="AJ9" s="585"/>
      <c r="AK9" s="585"/>
      <c r="AL9" s="585"/>
      <c r="AM9" s="585"/>
      <c r="AN9" s="585"/>
      <c r="AO9" s="585"/>
      <c r="AP9" s="585"/>
      <c r="AQ9" s="585"/>
      <c r="AR9" s="32"/>
    </row>
    <row r="10" spans="1:44" s="49" customFormat="1" ht="18.75" customHeight="1">
      <c r="A10" s="582" t="s">
        <v>10</v>
      </c>
      <c r="B10" s="582" t="s">
        <v>11</v>
      </c>
      <c r="C10" s="582" t="s">
        <v>12</v>
      </c>
      <c r="D10" s="580" t="s">
        <v>13</v>
      </c>
      <c r="E10" s="580" t="s">
        <v>14</v>
      </c>
      <c r="F10" s="589" t="s">
        <v>182</v>
      </c>
      <c r="G10" s="580" t="s">
        <v>15</v>
      </c>
      <c r="H10" s="547" t="s">
        <v>16</v>
      </c>
      <c r="I10" s="580" t="s">
        <v>17</v>
      </c>
      <c r="J10" s="547" t="s">
        <v>18</v>
      </c>
      <c r="K10" s="580" t="s">
        <v>19</v>
      </c>
      <c r="L10" s="517"/>
      <c r="M10" s="594" t="s">
        <v>20</v>
      </c>
      <c r="N10" s="594"/>
      <c r="O10" s="594"/>
      <c r="P10" s="594"/>
      <c r="Q10" s="594"/>
      <c r="R10" s="594"/>
      <c r="S10" s="588" t="s">
        <v>21</v>
      </c>
      <c r="T10" s="586" t="s">
        <v>22</v>
      </c>
      <c r="U10" s="581">
        <v>0.1</v>
      </c>
      <c r="V10" s="581">
        <v>0.2</v>
      </c>
      <c r="W10" s="582" t="s">
        <v>23</v>
      </c>
      <c r="X10" s="582"/>
      <c r="Y10" s="582"/>
      <c r="Z10" s="582"/>
      <c r="AA10" s="580" t="s">
        <v>24</v>
      </c>
      <c r="AB10" s="580"/>
      <c r="AC10" s="580"/>
      <c r="AD10" s="580"/>
      <c r="AE10" s="586" t="s">
        <v>25</v>
      </c>
      <c r="AF10" s="586" t="s">
        <v>26</v>
      </c>
      <c r="AG10" s="587" t="s">
        <v>27</v>
      </c>
      <c r="AH10" s="580" t="s">
        <v>28</v>
      </c>
      <c r="AI10" s="580"/>
      <c r="AJ10" s="580" t="s">
        <v>29</v>
      </c>
      <c r="AK10" s="580"/>
      <c r="AL10" s="579" t="s">
        <v>30</v>
      </c>
      <c r="AM10" s="579" t="s">
        <v>31</v>
      </c>
      <c r="AN10" s="579"/>
      <c r="AO10" s="579"/>
      <c r="AP10" s="579"/>
      <c r="AQ10" s="547" t="s">
        <v>32</v>
      </c>
      <c r="AR10" s="547" t="s">
        <v>33</v>
      </c>
    </row>
    <row r="11" spans="1:44" s="49" customFormat="1" ht="42" customHeight="1">
      <c r="A11" s="582"/>
      <c r="B11" s="582"/>
      <c r="C11" s="582"/>
      <c r="D11" s="580"/>
      <c r="E11" s="580"/>
      <c r="F11" s="589"/>
      <c r="G11" s="580"/>
      <c r="H11" s="547"/>
      <c r="I11" s="580"/>
      <c r="J11" s="547"/>
      <c r="K11" s="580"/>
      <c r="L11" s="517"/>
      <c r="M11" s="594"/>
      <c r="N11" s="594"/>
      <c r="O11" s="594"/>
      <c r="P11" s="594"/>
      <c r="Q11" s="594"/>
      <c r="R11" s="594"/>
      <c r="S11" s="588"/>
      <c r="T11" s="586"/>
      <c r="U11" s="581"/>
      <c r="V11" s="581"/>
      <c r="W11" s="590" t="s">
        <v>34</v>
      </c>
      <c r="X11" s="591"/>
      <c r="Y11" s="590" t="s">
        <v>35</v>
      </c>
      <c r="Z11" s="591"/>
      <c r="AA11" s="580"/>
      <c r="AB11" s="580"/>
      <c r="AC11" s="580"/>
      <c r="AD11" s="580"/>
      <c r="AE11" s="586"/>
      <c r="AF11" s="586"/>
      <c r="AG11" s="587"/>
      <c r="AH11" s="580"/>
      <c r="AI11" s="580"/>
      <c r="AJ11" s="580"/>
      <c r="AK11" s="580"/>
      <c r="AL11" s="579"/>
      <c r="AM11" s="586" t="s">
        <v>504</v>
      </c>
      <c r="AN11" s="586" t="s">
        <v>37</v>
      </c>
      <c r="AO11" s="586" t="s">
        <v>38</v>
      </c>
      <c r="AP11" s="586" t="s">
        <v>39</v>
      </c>
      <c r="AQ11" s="547"/>
      <c r="AR11" s="547"/>
    </row>
    <row r="12" spans="1:44" s="49" customFormat="1" ht="93" customHeight="1">
      <c r="A12" s="582"/>
      <c r="B12" s="582"/>
      <c r="C12" s="582"/>
      <c r="D12" s="580"/>
      <c r="E12" s="580"/>
      <c r="F12" s="589"/>
      <c r="G12" s="580"/>
      <c r="H12" s="547"/>
      <c r="I12" s="580"/>
      <c r="J12" s="547"/>
      <c r="K12" s="580"/>
      <c r="L12" s="517"/>
      <c r="M12" s="517" t="s">
        <v>40</v>
      </c>
      <c r="N12" s="513" t="s">
        <v>41</v>
      </c>
      <c r="O12" s="517" t="s">
        <v>42</v>
      </c>
      <c r="P12" s="513" t="s">
        <v>41</v>
      </c>
      <c r="Q12" s="517" t="s">
        <v>43</v>
      </c>
      <c r="R12" s="513" t="s">
        <v>41</v>
      </c>
      <c r="S12" s="588"/>
      <c r="T12" s="586"/>
      <c r="U12" s="582"/>
      <c r="V12" s="582"/>
      <c r="W12" s="518">
        <v>0.5</v>
      </c>
      <c r="X12" s="50" t="s">
        <v>41</v>
      </c>
      <c r="Y12" s="518">
        <v>0.6</v>
      </c>
      <c r="Z12" s="50" t="s">
        <v>41</v>
      </c>
      <c r="AA12" s="516" t="s">
        <v>44</v>
      </c>
      <c r="AB12" s="50" t="s">
        <v>41</v>
      </c>
      <c r="AC12" s="516" t="s">
        <v>505</v>
      </c>
      <c r="AD12" s="50" t="s">
        <v>41</v>
      </c>
      <c r="AE12" s="586"/>
      <c r="AF12" s="586"/>
      <c r="AG12" s="588"/>
      <c r="AH12" s="517" t="s">
        <v>45</v>
      </c>
      <c r="AI12" s="50" t="s">
        <v>41</v>
      </c>
      <c r="AJ12" s="517" t="s">
        <v>46</v>
      </c>
      <c r="AK12" s="50" t="s">
        <v>41</v>
      </c>
      <c r="AL12" s="579"/>
      <c r="AM12" s="586"/>
      <c r="AN12" s="586"/>
      <c r="AO12" s="586"/>
      <c r="AP12" s="586"/>
      <c r="AQ12" s="547"/>
      <c r="AR12" s="547"/>
    </row>
    <row r="13" spans="1:44" s="7" customFormat="1" ht="12.75">
      <c r="A13" s="51">
        <v>1</v>
      </c>
      <c r="B13" s="52">
        <v>2</v>
      </c>
      <c r="C13" s="52">
        <v>3</v>
      </c>
      <c r="D13" s="51">
        <v>4</v>
      </c>
      <c r="E13" s="52">
        <v>5</v>
      </c>
      <c r="F13" s="143">
        <v>6</v>
      </c>
      <c r="G13" s="51">
        <v>7</v>
      </c>
      <c r="H13" s="52">
        <v>8</v>
      </c>
      <c r="I13" s="52">
        <v>9</v>
      </c>
      <c r="J13" s="51">
        <v>10</v>
      </c>
      <c r="K13" s="52">
        <v>11</v>
      </c>
      <c r="L13" s="52"/>
      <c r="M13" s="52">
        <v>12</v>
      </c>
      <c r="N13" s="51">
        <v>13</v>
      </c>
      <c r="O13" s="52">
        <v>14</v>
      </c>
      <c r="P13" s="52">
        <v>15</v>
      </c>
      <c r="Q13" s="51">
        <v>16</v>
      </c>
      <c r="R13" s="52">
        <v>17</v>
      </c>
      <c r="S13" s="52">
        <v>18</v>
      </c>
      <c r="T13" s="51">
        <v>19</v>
      </c>
      <c r="U13" s="52">
        <v>20</v>
      </c>
      <c r="V13" s="52">
        <v>20</v>
      </c>
      <c r="W13" s="52">
        <v>21</v>
      </c>
      <c r="X13" s="51">
        <v>22</v>
      </c>
      <c r="Y13" s="52">
        <v>23</v>
      </c>
      <c r="Z13" s="52">
        <v>24</v>
      </c>
      <c r="AA13" s="51">
        <v>25</v>
      </c>
      <c r="AB13" s="52">
        <v>26</v>
      </c>
      <c r="AC13" s="52">
        <v>27</v>
      </c>
      <c r="AD13" s="51">
        <v>28</v>
      </c>
      <c r="AE13" s="52">
        <v>29</v>
      </c>
      <c r="AF13" s="52">
        <v>30</v>
      </c>
      <c r="AG13" s="51">
        <v>31</v>
      </c>
      <c r="AH13" s="52">
        <v>32</v>
      </c>
      <c r="AI13" s="52">
        <v>33</v>
      </c>
      <c r="AJ13" s="52">
        <v>32</v>
      </c>
      <c r="AK13" s="52">
        <v>33</v>
      </c>
      <c r="AL13" s="51">
        <v>34</v>
      </c>
      <c r="AM13" s="52">
        <v>35</v>
      </c>
      <c r="AN13" s="52">
        <v>36</v>
      </c>
      <c r="AO13" s="51">
        <v>37</v>
      </c>
      <c r="AP13" s="52">
        <v>38</v>
      </c>
      <c r="AQ13" s="52">
        <v>39</v>
      </c>
      <c r="AR13" s="51">
        <v>40</v>
      </c>
    </row>
    <row r="14" spans="1:44" s="215" customFormat="1" ht="15" customHeight="1">
      <c r="A14" s="51">
        <v>1</v>
      </c>
      <c r="B14" s="62" t="s">
        <v>208</v>
      </c>
      <c r="C14" s="217" t="s">
        <v>156</v>
      </c>
      <c r="D14" s="64" t="s">
        <v>50</v>
      </c>
      <c r="E14" s="51" t="s">
        <v>110</v>
      </c>
      <c r="F14" s="261">
        <v>22</v>
      </c>
      <c r="G14" s="214">
        <v>5.12</v>
      </c>
      <c r="H14" s="66">
        <v>17697</v>
      </c>
      <c r="I14" s="200">
        <v>2</v>
      </c>
      <c r="J14" s="66">
        <f t="shared" ref="J14:J15" si="0">H14*G14*I14</f>
        <v>181217.28</v>
      </c>
      <c r="K14" s="200">
        <f t="shared" ref="K14" si="1">(M14+O14+Q14)/16</f>
        <v>0.1875</v>
      </c>
      <c r="L14" s="200">
        <f t="shared" ref="L14" si="2">M14+O14+Q14</f>
        <v>3</v>
      </c>
      <c r="M14" s="210">
        <v>3</v>
      </c>
      <c r="N14" s="66">
        <f t="shared" ref="N14:N15" si="3">J14/16*M14</f>
        <v>33978.239999999998</v>
      </c>
      <c r="O14" s="210"/>
      <c r="P14" s="66">
        <f t="shared" ref="P14" si="4">J14/16*O14</f>
        <v>0</v>
      </c>
      <c r="Q14" s="210"/>
      <c r="R14" s="66">
        <f t="shared" ref="R14" si="5">J14/16*Q14</f>
        <v>0</v>
      </c>
      <c r="S14" s="201">
        <f t="shared" ref="S14" si="6">(N14+P14+R14)*25%</f>
        <v>8494.56</v>
      </c>
      <c r="T14" s="66">
        <f t="shared" ref="T14" si="7">N14+P14+R14+S14</f>
        <v>42472.799999999996</v>
      </c>
      <c r="U14" s="66">
        <f t="shared" ref="U14" si="8">T14*10%</f>
        <v>4247.28</v>
      </c>
      <c r="V14" s="66">
        <f t="shared" ref="V14" si="9">T14*20%</f>
        <v>8494.56</v>
      </c>
      <c r="W14" s="210"/>
      <c r="X14" s="66">
        <f t="shared" ref="X14" si="10">(H14*W14)*50%</f>
        <v>0</v>
      </c>
      <c r="Y14" s="211"/>
      <c r="Z14" s="66">
        <f t="shared" ref="Z14" si="11">H14*Y14*60%</f>
        <v>0</v>
      </c>
      <c r="AA14" s="211">
        <v>3</v>
      </c>
      <c r="AB14" s="66">
        <f t="shared" ref="AB14" si="12">((H14*40%/16*AA14))</f>
        <v>1327.2750000000001</v>
      </c>
      <c r="AC14" s="211"/>
      <c r="AD14" s="66">
        <f t="shared" ref="AD14" si="13">((H14*50%/16*AC14))</f>
        <v>0</v>
      </c>
      <c r="AE14" s="212"/>
      <c r="AF14" s="212"/>
      <c r="AG14" s="66">
        <f t="shared" ref="AG14" si="14">T14*30%</f>
        <v>12741.839999999998</v>
      </c>
      <c r="AH14" s="66"/>
      <c r="AI14" s="66">
        <f t="shared" ref="AI14" si="15">((H14*20%/16*AH14))</f>
        <v>0</v>
      </c>
      <c r="AJ14" s="210">
        <v>3</v>
      </c>
      <c r="AK14" s="66">
        <f t="shared" ref="AK14" si="16">((H14*40%/16*AJ14))</f>
        <v>1327.2750000000001</v>
      </c>
      <c r="AL14" s="210"/>
      <c r="AM14" s="210"/>
      <c r="AN14" s="213">
        <f t="shared" ref="AN14" si="17">T14*35%</f>
        <v>14865.479999999998</v>
      </c>
      <c r="AO14" s="210"/>
      <c r="AP14" s="210"/>
      <c r="AQ14" s="66">
        <f t="shared" ref="AQ14" si="18">SUM(T14:AP14)</f>
        <v>85482.50999999998</v>
      </c>
      <c r="AR14" s="66">
        <f t="shared" ref="AR14" si="19">AQ14*12/1000</f>
        <v>1025.7901199999997</v>
      </c>
    </row>
    <row r="15" spans="1:44" s="215" customFormat="1" ht="15" customHeight="1">
      <c r="A15" s="51">
        <v>2</v>
      </c>
      <c r="B15" s="216" t="s">
        <v>155</v>
      </c>
      <c r="C15" s="217" t="s">
        <v>156</v>
      </c>
      <c r="D15" s="64" t="s">
        <v>50</v>
      </c>
      <c r="E15" s="51" t="s">
        <v>146</v>
      </c>
      <c r="F15" s="408" t="s">
        <v>550</v>
      </c>
      <c r="G15" s="214">
        <v>4.38</v>
      </c>
      <c r="H15" s="66">
        <v>17697</v>
      </c>
      <c r="I15" s="200">
        <v>2</v>
      </c>
      <c r="J15" s="66">
        <f t="shared" si="0"/>
        <v>155025.72</v>
      </c>
      <c r="K15" s="200">
        <f>(M15+O15+Q15)/16</f>
        <v>0.96875</v>
      </c>
      <c r="L15" s="200">
        <f t="shared" ref="L15:L16" si="20">M15+O15+Q15</f>
        <v>15.5</v>
      </c>
      <c r="M15" s="210">
        <v>6</v>
      </c>
      <c r="N15" s="66">
        <f t="shared" si="3"/>
        <v>58134.645000000004</v>
      </c>
      <c r="O15" s="210">
        <v>5.5</v>
      </c>
      <c r="P15" s="66">
        <f t="shared" ref="P15:P16" si="21">J15/16*O15</f>
        <v>53290.091249999998</v>
      </c>
      <c r="Q15" s="210">
        <v>4</v>
      </c>
      <c r="R15" s="66">
        <f t="shared" ref="R15:R17" si="22">J15/16*Q15</f>
        <v>38756.43</v>
      </c>
      <c r="S15" s="201">
        <f t="shared" ref="S15:S17" si="23">(N15+P15+R15)*25%</f>
        <v>37545.291562500002</v>
      </c>
      <c r="T15" s="66">
        <f t="shared" ref="T15:T17" si="24">N15+P15+R15+S15</f>
        <v>187726.45781250001</v>
      </c>
      <c r="U15" s="66">
        <f t="shared" ref="U15:U16" si="25">T15*10%</f>
        <v>18772.645781250001</v>
      </c>
      <c r="V15" s="66">
        <f t="shared" ref="V15:V17" si="26">T15*20%</f>
        <v>37545.291562500002</v>
      </c>
      <c r="W15" s="210"/>
      <c r="X15" s="66">
        <f t="shared" ref="X15:X17" si="27">(H15*W15)*50%</f>
        <v>0</v>
      </c>
      <c r="Y15" s="211">
        <v>1</v>
      </c>
      <c r="Z15" s="66">
        <f t="shared" ref="Z15:Z17" si="28">H15*Y15*60%</f>
        <v>10618.199999999999</v>
      </c>
      <c r="AA15" s="210">
        <v>14</v>
      </c>
      <c r="AB15" s="66">
        <f t="shared" ref="AB15:AB17" si="29">((H15*40%/16*AA15))</f>
        <v>6193.95</v>
      </c>
      <c r="AC15" s="211"/>
      <c r="AD15" s="66">
        <f t="shared" ref="AD15:AD17" si="30">((H15*40%/16*AC15))</f>
        <v>0</v>
      </c>
      <c r="AE15" s="212"/>
      <c r="AF15" s="212"/>
      <c r="AG15" s="66">
        <f t="shared" ref="AG15:AG17" si="31">T15*30%</f>
        <v>56317.937343750003</v>
      </c>
      <c r="AH15" s="66"/>
      <c r="AI15" s="66">
        <f t="shared" ref="AI15:AI17" si="32">((H15*20%/16*AH15))</f>
        <v>0</v>
      </c>
      <c r="AJ15" s="210">
        <v>15.5</v>
      </c>
      <c r="AK15" s="66">
        <f t="shared" ref="AK15:AK17" si="33">((H15*40%/16*AJ15))</f>
        <v>6857.5875000000005</v>
      </c>
      <c r="AL15" s="210"/>
      <c r="AM15" s="213"/>
      <c r="AN15" s="210"/>
      <c r="AO15" s="210"/>
      <c r="AP15" s="210"/>
      <c r="AQ15" s="66">
        <f t="shared" ref="AQ15:AQ17" si="34">SUM(T15:AP15)</f>
        <v>324062.57000000007</v>
      </c>
      <c r="AR15" s="66">
        <f t="shared" ref="AR15:AR17" si="35">AQ15*12/1000</f>
        <v>3888.7508400000006</v>
      </c>
    </row>
    <row r="16" spans="1:44" s="215" customFormat="1" ht="15" customHeight="1">
      <c r="A16" s="51">
        <v>3</v>
      </c>
      <c r="B16" s="79" t="s">
        <v>172</v>
      </c>
      <c r="C16" s="63" t="s">
        <v>85</v>
      </c>
      <c r="D16" s="64" t="s">
        <v>50</v>
      </c>
      <c r="E16" s="51" t="s">
        <v>146</v>
      </c>
      <c r="F16" s="413">
        <v>10</v>
      </c>
      <c r="G16" s="223">
        <v>4.38</v>
      </c>
      <c r="H16" s="66">
        <v>17697</v>
      </c>
      <c r="I16" s="200">
        <v>2</v>
      </c>
      <c r="J16" s="66">
        <f t="shared" ref="J16:J17" si="36">H16*G16*I16</f>
        <v>155025.72</v>
      </c>
      <c r="K16" s="200">
        <f t="shared" ref="K16" si="37">(M16+O16+Q16)/16</f>
        <v>0.8125</v>
      </c>
      <c r="L16" s="200">
        <f t="shared" si="20"/>
        <v>13</v>
      </c>
      <c r="M16" s="210">
        <v>7</v>
      </c>
      <c r="N16" s="66">
        <f t="shared" ref="N16:N17" si="38">J16/16*M16</f>
        <v>67823.752500000002</v>
      </c>
      <c r="O16" s="210">
        <v>6</v>
      </c>
      <c r="P16" s="66">
        <f t="shared" si="21"/>
        <v>58134.645000000004</v>
      </c>
      <c r="Q16" s="210"/>
      <c r="R16" s="66">
        <f t="shared" si="22"/>
        <v>0</v>
      </c>
      <c r="S16" s="201">
        <f t="shared" si="23"/>
        <v>31489.599375000002</v>
      </c>
      <c r="T16" s="66">
        <f t="shared" si="24"/>
        <v>157447.99687500001</v>
      </c>
      <c r="U16" s="66">
        <f t="shared" si="25"/>
        <v>15744.799687500003</v>
      </c>
      <c r="V16" s="66">
        <f t="shared" si="26"/>
        <v>31489.599375000005</v>
      </c>
      <c r="W16" s="210"/>
      <c r="X16" s="66">
        <f t="shared" si="27"/>
        <v>0</v>
      </c>
      <c r="Y16" s="211">
        <v>1</v>
      </c>
      <c r="Z16" s="66">
        <f t="shared" si="28"/>
        <v>10618.199999999999</v>
      </c>
      <c r="AA16" s="210">
        <v>13</v>
      </c>
      <c r="AB16" s="66">
        <f t="shared" si="29"/>
        <v>5751.5250000000005</v>
      </c>
      <c r="AC16" s="211"/>
      <c r="AD16" s="66">
        <f t="shared" si="30"/>
        <v>0</v>
      </c>
      <c r="AE16" s="212"/>
      <c r="AF16" s="212"/>
      <c r="AG16" s="66">
        <f t="shared" si="31"/>
        <v>47234.399062500001</v>
      </c>
      <c r="AH16" s="66"/>
      <c r="AI16" s="66">
        <f t="shared" si="32"/>
        <v>0</v>
      </c>
      <c r="AJ16" s="210">
        <v>5</v>
      </c>
      <c r="AK16" s="66">
        <f t="shared" si="33"/>
        <v>2212.125</v>
      </c>
      <c r="AL16" s="210"/>
      <c r="AM16" s="213"/>
      <c r="AN16" s="210"/>
      <c r="AO16" s="210"/>
      <c r="AP16" s="210"/>
      <c r="AQ16" s="66">
        <f t="shared" si="34"/>
        <v>270517.64500000002</v>
      </c>
      <c r="AR16" s="66">
        <f t="shared" si="35"/>
        <v>3246.2117400000002</v>
      </c>
    </row>
    <row r="17" spans="1:44" s="215" customFormat="1" ht="15" customHeight="1">
      <c r="A17" s="51">
        <v>4</v>
      </c>
      <c r="B17" s="216" t="s">
        <v>866</v>
      </c>
      <c r="C17" s="217" t="s">
        <v>53</v>
      </c>
      <c r="D17" s="64" t="s">
        <v>50</v>
      </c>
      <c r="E17" s="51" t="s">
        <v>146</v>
      </c>
      <c r="F17" s="408" t="s">
        <v>867</v>
      </c>
      <c r="G17" s="214">
        <v>4.2300000000000004</v>
      </c>
      <c r="H17" s="66">
        <v>17697</v>
      </c>
      <c r="I17" s="200">
        <v>2</v>
      </c>
      <c r="J17" s="66">
        <f t="shared" si="36"/>
        <v>149716.62000000002</v>
      </c>
      <c r="K17" s="200">
        <f>(M17+O17+Q17)/16</f>
        <v>0.1875</v>
      </c>
      <c r="L17" s="200">
        <f t="shared" ref="L17" si="39">M17+O17+Q17</f>
        <v>3</v>
      </c>
      <c r="M17" s="210">
        <v>3</v>
      </c>
      <c r="N17" s="66">
        <f t="shared" si="38"/>
        <v>28071.866250000006</v>
      </c>
      <c r="O17" s="210"/>
      <c r="P17" s="66">
        <f t="shared" ref="P17" si="40">J17/16*O17</f>
        <v>0</v>
      </c>
      <c r="Q17" s="210"/>
      <c r="R17" s="66">
        <f t="shared" si="22"/>
        <v>0</v>
      </c>
      <c r="S17" s="201">
        <f t="shared" si="23"/>
        <v>7017.9665625000016</v>
      </c>
      <c r="T17" s="66">
        <f t="shared" si="24"/>
        <v>35089.832812500012</v>
      </c>
      <c r="U17" s="66">
        <f t="shared" ref="U17" si="41">T17*10%</f>
        <v>3508.9832812500013</v>
      </c>
      <c r="V17" s="66">
        <f t="shared" si="26"/>
        <v>7017.9665625000025</v>
      </c>
      <c r="W17" s="210"/>
      <c r="X17" s="66">
        <f t="shared" si="27"/>
        <v>0</v>
      </c>
      <c r="Y17" s="211"/>
      <c r="Z17" s="66">
        <f t="shared" si="28"/>
        <v>0</v>
      </c>
      <c r="AA17" s="210">
        <v>3</v>
      </c>
      <c r="AB17" s="66">
        <f t="shared" si="29"/>
        <v>1327.2750000000001</v>
      </c>
      <c r="AC17" s="211"/>
      <c r="AD17" s="66">
        <f t="shared" si="30"/>
        <v>0</v>
      </c>
      <c r="AE17" s="212"/>
      <c r="AF17" s="212"/>
      <c r="AG17" s="66">
        <f t="shared" si="31"/>
        <v>10526.949843750002</v>
      </c>
      <c r="AH17" s="66"/>
      <c r="AI17" s="66">
        <f t="shared" si="32"/>
        <v>0</v>
      </c>
      <c r="AJ17" s="210">
        <v>3</v>
      </c>
      <c r="AK17" s="66">
        <f t="shared" si="33"/>
        <v>1327.2750000000001</v>
      </c>
      <c r="AL17" s="210"/>
      <c r="AM17" s="213"/>
      <c r="AN17" s="210"/>
      <c r="AO17" s="210"/>
      <c r="AP17" s="210"/>
      <c r="AQ17" s="66">
        <f t="shared" si="34"/>
        <v>58804.282500000023</v>
      </c>
      <c r="AR17" s="66">
        <f t="shared" si="35"/>
        <v>705.65139000000022</v>
      </c>
    </row>
    <row r="18" spans="1:44" s="76" customFormat="1" ht="15" customHeight="1">
      <c r="A18" s="259"/>
      <c r="B18" s="70" t="s">
        <v>146</v>
      </c>
      <c r="C18" s="70"/>
      <c r="D18" s="70"/>
      <c r="E18" s="70"/>
      <c r="F18" s="71"/>
      <c r="G18" s="72"/>
      <c r="H18" s="73"/>
      <c r="I18" s="74"/>
      <c r="J18" s="75">
        <f t="shared" ref="J18:AR18" si="42">SUM(J15:J17)</f>
        <v>459768.06000000006</v>
      </c>
      <c r="K18" s="75">
        <f t="shared" si="42"/>
        <v>1.96875</v>
      </c>
      <c r="L18" s="75">
        <f t="shared" si="42"/>
        <v>31.5</v>
      </c>
      <c r="M18" s="75">
        <f t="shared" si="42"/>
        <v>16</v>
      </c>
      <c r="N18" s="75">
        <f t="shared" si="42"/>
        <v>154030.26375000001</v>
      </c>
      <c r="O18" s="75">
        <f t="shared" si="42"/>
        <v>11.5</v>
      </c>
      <c r="P18" s="75">
        <f t="shared" si="42"/>
        <v>111424.73625</v>
      </c>
      <c r="Q18" s="75">
        <f t="shared" si="42"/>
        <v>4</v>
      </c>
      <c r="R18" s="75">
        <f t="shared" si="42"/>
        <v>38756.43</v>
      </c>
      <c r="S18" s="75">
        <f t="shared" si="42"/>
        <v>76052.857500000013</v>
      </c>
      <c r="T18" s="75">
        <f t="shared" si="42"/>
        <v>380264.28750000003</v>
      </c>
      <c r="U18" s="75">
        <f t="shared" si="42"/>
        <v>38026.428750000006</v>
      </c>
      <c r="V18" s="75">
        <f t="shared" si="42"/>
        <v>76052.857500000013</v>
      </c>
      <c r="W18" s="75">
        <f t="shared" si="42"/>
        <v>0</v>
      </c>
      <c r="X18" s="75">
        <f t="shared" si="42"/>
        <v>0</v>
      </c>
      <c r="Y18" s="75">
        <f t="shared" si="42"/>
        <v>2</v>
      </c>
      <c r="Z18" s="75">
        <f t="shared" si="42"/>
        <v>21236.399999999998</v>
      </c>
      <c r="AA18" s="75">
        <f t="shared" si="42"/>
        <v>30</v>
      </c>
      <c r="AB18" s="75">
        <f t="shared" si="42"/>
        <v>13272.75</v>
      </c>
      <c r="AC18" s="75">
        <f t="shared" si="42"/>
        <v>0</v>
      </c>
      <c r="AD18" s="75">
        <f t="shared" si="42"/>
        <v>0</v>
      </c>
      <c r="AE18" s="75">
        <f t="shared" si="42"/>
        <v>0</v>
      </c>
      <c r="AF18" s="75">
        <f t="shared" si="42"/>
        <v>0</v>
      </c>
      <c r="AG18" s="75">
        <f t="shared" si="42"/>
        <v>114079.28625</v>
      </c>
      <c r="AH18" s="75">
        <f t="shared" si="42"/>
        <v>0</v>
      </c>
      <c r="AI18" s="75">
        <f t="shared" si="42"/>
        <v>0</v>
      </c>
      <c r="AJ18" s="75">
        <f t="shared" si="42"/>
        <v>23.5</v>
      </c>
      <c r="AK18" s="75">
        <f t="shared" si="42"/>
        <v>10396.987500000001</v>
      </c>
      <c r="AL18" s="75">
        <f t="shared" si="42"/>
        <v>0</v>
      </c>
      <c r="AM18" s="75">
        <f t="shared" si="42"/>
        <v>0</v>
      </c>
      <c r="AN18" s="75">
        <f t="shared" si="42"/>
        <v>0</v>
      </c>
      <c r="AO18" s="75">
        <f t="shared" si="42"/>
        <v>0</v>
      </c>
      <c r="AP18" s="75">
        <f t="shared" si="42"/>
        <v>0</v>
      </c>
      <c r="AQ18" s="75">
        <f t="shared" si="42"/>
        <v>653384.49750000006</v>
      </c>
      <c r="AR18" s="75">
        <f t="shared" si="42"/>
        <v>7840.6139700000012</v>
      </c>
    </row>
    <row r="19" spans="1:44">
      <c r="A19" s="82"/>
      <c r="H19" s="84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</row>
    <row r="20" spans="1:44">
      <c r="A20" s="82"/>
      <c r="H20" s="84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</row>
    <row r="21" spans="1:44">
      <c r="A21" s="82"/>
      <c r="H21" s="84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</row>
    <row r="22" spans="1:44" ht="22.5" customHeight="1">
      <c r="A22" s="82"/>
      <c r="B22" s="575" t="s">
        <v>507</v>
      </c>
      <c r="C22" s="575"/>
      <c r="D22" s="575"/>
      <c r="E22" s="575"/>
      <c r="F22" s="575"/>
      <c r="I22" s="592" t="s">
        <v>381</v>
      </c>
      <c r="J22" s="533"/>
      <c r="K22" s="533"/>
      <c r="L22" s="533"/>
      <c r="M22" s="533"/>
      <c r="N22" s="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</row>
    <row r="23" spans="1:44">
      <c r="A23" s="82"/>
      <c r="B23" s="187"/>
      <c r="C23" s="43"/>
      <c r="F23" s="82"/>
      <c r="K23" s="186"/>
      <c r="L23" s="186"/>
      <c r="M23" s="2"/>
      <c r="N23" s="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</row>
    <row r="24" spans="1:44" ht="25.5" customHeight="1">
      <c r="A24" s="82"/>
      <c r="B24" s="576"/>
      <c r="C24" s="576"/>
      <c r="D24" s="576"/>
      <c r="E24" s="576"/>
      <c r="F24" s="576"/>
      <c r="G24" s="576"/>
      <c r="K24" s="573"/>
      <c r="L24" s="573"/>
      <c r="M24" s="574"/>
      <c r="N24" s="574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</row>
  </sheetData>
  <mergeCells count="42">
    <mergeCell ref="A10:A12"/>
    <mergeCell ref="B10:B12"/>
    <mergeCell ref="C10:C12"/>
    <mergeCell ref="D10:D12"/>
    <mergeCell ref="E10:E12"/>
    <mergeCell ref="AC2:AE2"/>
    <mergeCell ref="AC3:AI3"/>
    <mergeCell ref="AC5:AG5"/>
    <mergeCell ref="A8:AR8"/>
    <mergeCell ref="AJ9:AQ9"/>
    <mergeCell ref="AM10:AP10"/>
    <mergeCell ref="AQ10:AQ12"/>
    <mergeCell ref="AR10:AR12"/>
    <mergeCell ref="W11:X11"/>
    <mergeCell ref="Y11:Z11"/>
    <mergeCell ref="AM11:AM12"/>
    <mergeCell ref="AN11:AN12"/>
    <mergeCell ref="AO11:AO12"/>
    <mergeCell ref="AP11:AP12"/>
    <mergeCell ref="AA10:AD11"/>
    <mergeCell ref="AE10:AE12"/>
    <mergeCell ref="AF10:AF12"/>
    <mergeCell ref="AG10:AG12"/>
    <mergeCell ref="AH10:AI11"/>
    <mergeCell ref="AJ10:AK11"/>
    <mergeCell ref="W10:Z10"/>
    <mergeCell ref="B22:F22"/>
    <mergeCell ref="I22:M22"/>
    <mergeCell ref="B24:G24"/>
    <mergeCell ref="K24:N24"/>
    <mergeCell ref="AL10:AL12"/>
    <mergeCell ref="M10:R11"/>
    <mergeCell ref="S10:S12"/>
    <mergeCell ref="T10:T12"/>
    <mergeCell ref="U10:U12"/>
    <mergeCell ref="V10:V12"/>
    <mergeCell ref="F10:F12"/>
    <mergeCell ref="G10:G12"/>
    <mergeCell ref="H10:H12"/>
    <mergeCell ref="I10:I12"/>
    <mergeCell ref="J10:J12"/>
    <mergeCell ref="K10:K12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L148"/>
  <sheetViews>
    <sheetView view="pageBreakPreview" zoomScale="90" zoomScaleNormal="90" zoomScaleSheetLayoutView="90" workbookViewId="0">
      <selection activeCell="O1" sqref="O1:P1048576"/>
    </sheetView>
  </sheetViews>
  <sheetFormatPr defaultColWidth="6.140625" defaultRowHeight="12.75"/>
  <cols>
    <col min="1" max="1" width="4.42578125" style="77" customWidth="1"/>
    <col min="2" max="2" width="22.28515625" style="293" customWidth="1"/>
    <col min="3" max="3" width="24" style="293" hidden="1" customWidth="1"/>
    <col min="4" max="4" width="34.7109375" style="330" customWidth="1"/>
    <col min="5" max="5" width="9.28515625" style="294" customWidth="1"/>
    <col min="6" max="6" width="6.28515625" style="77" customWidth="1"/>
    <col min="7" max="7" width="6.85546875" style="77" customWidth="1"/>
    <col min="8" max="8" width="6.28515625" style="77" customWidth="1"/>
    <col min="9" max="9" width="5.5703125" style="297" customWidth="1"/>
    <col min="10" max="10" width="7.140625" style="296" customWidth="1"/>
    <col min="11" max="11" width="5" style="77" customWidth="1"/>
    <col min="12" max="12" width="9.85546875" style="296" customWidth="1"/>
    <col min="13" max="13" width="9.42578125" style="296" customWidth="1"/>
    <col min="14" max="16" width="10" style="296" customWidth="1"/>
    <col min="17" max="17" width="8.42578125" style="296" customWidth="1"/>
    <col min="18" max="18" width="7.85546875" style="296" customWidth="1"/>
    <col min="19" max="19" width="7.5703125" style="296" customWidth="1"/>
    <col min="20" max="20" width="7" style="296" customWidth="1"/>
    <col min="21" max="21" width="6.140625" style="296" customWidth="1"/>
    <col min="22" max="22" width="7.5703125" style="296" customWidth="1"/>
    <col min="23" max="23" width="7.28515625" style="296" customWidth="1"/>
    <col min="24" max="24" width="6.5703125" style="296" customWidth="1"/>
    <col min="25" max="25" width="6.28515625" style="296" customWidth="1"/>
    <col min="26" max="26" width="7.28515625" style="296" customWidth="1"/>
    <col min="27" max="27" width="8.5703125" style="296" customWidth="1"/>
    <col min="28" max="28" width="7.140625" style="296" customWidth="1"/>
    <col min="29" max="29" width="5" style="296" customWidth="1"/>
    <col min="30" max="30" width="8" style="296" customWidth="1"/>
    <col min="31" max="31" width="9.42578125" style="296" customWidth="1"/>
    <col min="32" max="32" width="8.7109375" style="296" customWidth="1"/>
    <col min="33" max="16384" width="6.140625" style="77"/>
  </cols>
  <sheetData>
    <row r="2" spans="1:38" ht="14.25" customHeight="1">
      <c r="B2" s="92"/>
      <c r="C2" s="92"/>
      <c r="D2" s="293"/>
      <c r="F2" s="295"/>
      <c r="G2" s="296"/>
      <c r="J2" s="77"/>
      <c r="Z2" s="298" t="s">
        <v>0</v>
      </c>
      <c r="AA2" s="299"/>
      <c r="AB2" s="299"/>
      <c r="AC2" s="299"/>
      <c r="AG2" s="298"/>
      <c r="AH2" s="299"/>
      <c r="AI2" s="299"/>
      <c r="AJ2" s="299"/>
      <c r="AK2" s="296"/>
      <c r="AL2" s="296"/>
    </row>
    <row r="3" spans="1:38" ht="14.25" customHeight="1">
      <c r="B3" s="92"/>
      <c r="C3" s="92"/>
      <c r="D3" s="293"/>
      <c r="F3" s="295"/>
      <c r="G3" s="296"/>
      <c r="J3" s="77"/>
      <c r="Z3" s="470" t="s">
        <v>836</v>
      </c>
      <c r="AA3" s="299"/>
      <c r="AB3" s="299"/>
      <c r="AC3" s="299"/>
      <c r="AG3" s="300"/>
      <c r="AH3" s="299"/>
      <c r="AI3" s="299"/>
      <c r="AJ3" s="299"/>
      <c r="AK3" s="296"/>
      <c r="AL3" s="296"/>
    </row>
    <row r="4" spans="1:38" ht="14.25" customHeight="1">
      <c r="B4" s="92"/>
      <c r="C4" s="92"/>
      <c r="D4" s="293"/>
      <c r="F4" s="295"/>
      <c r="G4" s="296"/>
      <c r="J4" s="77"/>
      <c r="Z4" s="471" t="s">
        <v>838</v>
      </c>
      <c r="AA4" s="204"/>
      <c r="AB4" s="204"/>
      <c r="AC4" s="204"/>
      <c r="AG4" s="298"/>
      <c r="AH4" s="204"/>
      <c r="AI4" s="204"/>
      <c r="AJ4" s="204"/>
      <c r="AK4" s="296"/>
      <c r="AL4" s="296"/>
    </row>
    <row r="5" spans="1:38" ht="18" customHeight="1">
      <c r="B5" s="92"/>
      <c r="C5" s="92"/>
      <c r="D5" s="293"/>
      <c r="F5" s="295"/>
      <c r="G5" s="296"/>
      <c r="J5" s="77"/>
      <c r="Z5" s="298" t="s">
        <v>837</v>
      </c>
      <c r="AA5" s="204"/>
      <c r="AB5" s="204"/>
      <c r="AC5" s="204"/>
      <c r="AG5" s="298"/>
      <c r="AH5" s="204"/>
      <c r="AI5" s="204"/>
      <c r="AJ5" s="204"/>
      <c r="AK5" s="296"/>
      <c r="AL5" s="296"/>
    </row>
    <row r="6" spans="1:38" ht="14.25" customHeight="1">
      <c r="B6" s="92"/>
      <c r="C6" s="92"/>
      <c r="D6" s="293"/>
      <c r="F6" s="295"/>
      <c r="G6" s="296"/>
      <c r="J6" s="77"/>
      <c r="AA6" s="93"/>
    </row>
    <row r="7" spans="1:38" ht="13.5" customHeight="1">
      <c r="B7" s="92"/>
      <c r="C7" s="92"/>
      <c r="D7" s="293"/>
      <c r="F7" s="295"/>
      <c r="G7" s="296"/>
      <c r="J7" s="77"/>
      <c r="AA7" s="93"/>
    </row>
    <row r="8" spans="1:38" ht="39.6" customHeight="1">
      <c r="A8" s="561" t="s">
        <v>602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  <c r="AF8" s="561"/>
    </row>
    <row r="9" spans="1:38" s="94" customFormat="1" ht="28.5" customHeight="1">
      <c r="A9" s="559" t="s">
        <v>10</v>
      </c>
      <c r="B9" s="559" t="s">
        <v>180</v>
      </c>
      <c r="C9" s="562" t="s">
        <v>629</v>
      </c>
      <c r="D9" s="559" t="s">
        <v>179</v>
      </c>
      <c r="E9" s="559" t="s">
        <v>181</v>
      </c>
      <c r="F9" s="559" t="s">
        <v>384</v>
      </c>
      <c r="G9" s="559" t="s">
        <v>14</v>
      </c>
      <c r="H9" s="559" t="s">
        <v>182</v>
      </c>
      <c r="I9" s="559" t="s">
        <v>183</v>
      </c>
      <c r="J9" s="557" t="s">
        <v>16</v>
      </c>
      <c r="K9" s="559" t="s">
        <v>184</v>
      </c>
      <c r="L9" s="557" t="s">
        <v>185</v>
      </c>
      <c r="M9" s="557" t="s">
        <v>186</v>
      </c>
      <c r="N9" s="557" t="s">
        <v>22</v>
      </c>
      <c r="O9" s="472"/>
      <c r="P9" s="472"/>
      <c r="Q9" s="564" t="s">
        <v>31</v>
      </c>
      <c r="R9" s="565"/>
      <c r="S9" s="565"/>
      <c r="T9" s="565"/>
      <c r="U9" s="565"/>
      <c r="V9" s="565"/>
      <c r="W9" s="565"/>
      <c r="X9" s="427"/>
      <c r="Y9" s="427"/>
      <c r="Z9" s="547" t="s">
        <v>31</v>
      </c>
      <c r="AA9" s="547"/>
      <c r="AB9" s="547"/>
      <c r="AC9" s="547"/>
      <c r="AD9" s="547"/>
      <c r="AE9" s="557" t="s">
        <v>32</v>
      </c>
      <c r="AF9" s="557" t="s">
        <v>33</v>
      </c>
    </row>
    <row r="10" spans="1:38" s="94" customFormat="1" ht="129" customHeight="1">
      <c r="A10" s="560"/>
      <c r="B10" s="560"/>
      <c r="C10" s="563"/>
      <c r="D10" s="560"/>
      <c r="E10" s="560"/>
      <c r="F10" s="560"/>
      <c r="G10" s="560"/>
      <c r="H10" s="560"/>
      <c r="I10" s="560"/>
      <c r="J10" s="558"/>
      <c r="K10" s="560"/>
      <c r="L10" s="558"/>
      <c r="M10" s="558"/>
      <c r="N10" s="558"/>
      <c r="O10" s="429"/>
      <c r="P10" s="429"/>
      <c r="Q10" s="431">
        <v>0.1</v>
      </c>
      <c r="R10" s="431" t="s">
        <v>187</v>
      </c>
      <c r="S10" s="430" t="s">
        <v>188</v>
      </c>
      <c r="T10" s="430" t="s">
        <v>803</v>
      </c>
      <c r="U10" s="430" t="s">
        <v>189</v>
      </c>
      <c r="V10" s="430" t="s">
        <v>190</v>
      </c>
      <c r="W10" s="430" t="s">
        <v>191</v>
      </c>
      <c r="X10" s="429" t="s">
        <v>442</v>
      </c>
      <c r="Y10" s="429" t="s">
        <v>443</v>
      </c>
      <c r="Z10" s="429" t="s">
        <v>36</v>
      </c>
      <c r="AA10" s="429" t="s">
        <v>37</v>
      </c>
      <c r="AB10" s="429" t="s">
        <v>38</v>
      </c>
      <c r="AC10" s="429" t="s">
        <v>39</v>
      </c>
      <c r="AD10" s="429" t="s">
        <v>192</v>
      </c>
      <c r="AE10" s="558"/>
      <c r="AF10" s="558"/>
    </row>
    <row r="11" spans="1:38" s="105" customFormat="1">
      <c r="A11" s="95">
        <v>1</v>
      </c>
      <c r="B11" s="95">
        <v>3</v>
      </c>
      <c r="C11" s="95"/>
      <c r="D11" s="95">
        <v>2</v>
      </c>
      <c r="E11" s="95">
        <v>4</v>
      </c>
      <c r="F11" s="95">
        <v>5</v>
      </c>
      <c r="G11" s="95">
        <v>6</v>
      </c>
      <c r="H11" s="95">
        <v>7</v>
      </c>
      <c r="I11" s="95">
        <v>8</v>
      </c>
      <c r="J11" s="95">
        <v>9</v>
      </c>
      <c r="K11" s="95">
        <v>10</v>
      </c>
      <c r="L11" s="95">
        <v>11</v>
      </c>
      <c r="M11" s="95">
        <v>12</v>
      </c>
      <c r="N11" s="95">
        <v>13</v>
      </c>
      <c r="O11" s="95"/>
      <c r="P11" s="95"/>
      <c r="Q11" s="95">
        <v>14</v>
      </c>
      <c r="R11" s="95">
        <v>15</v>
      </c>
      <c r="S11" s="95">
        <v>16</v>
      </c>
      <c r="T11" s="95">
        <v>17</v>
      </c>
      <c r="U11" s="95">
        <v>18</v>
      </c>
      <c r="V11" s="95">
        <v>19</v>
      </c>
      <c r="W11" s="95">
        <v>20</v>
      </c>
      <c r="X11" s="95">
        <v>21</v>
      </c>
      <c r="Y11" s="95">
        <v>22</v>
      </c>
      <c r="Z11" s="95">
        <v>23</v>
      </c>
      <c r="AA11" s="95">
        <v>24</v>
      </c>
      <c r="AB11" s="95">
        <v>25</v>
      </c>
      <c r="AC11" s="95">
        <v>26</v>
      </c>
      <c r="AD11" s="95">
        <v>27</v>
      </c>
      <c r="AE11" s="95">
        <v>28</v>
      </c>
      <c r="AF11" s="95">
        <v>29</v>
      </c>
    </row>
    <row r="12" spans="1:38" s="105" customFormat="1">
      <c r="A12" s="362"/>
      <c r="B12" s="53" t="s">
        <v>47</v>
      </c>
      <c r="C12" s="53"/>
      <c r="D12" s="53"/>
      <c r="E12" s="54"/>
      <c r="F12" s="363">
        <f>+F21+F49+F77+F83+F138</f>
        <v>115.75</v>
      </c>
      <c r="G12" s="364"/>
      <c r="H12" s="56"/>
      <c r="I12" s="57"/>
      <c r="J12" s="58"/>
      <c r="K12" s="365"/>
      <c r="L12" s="55">
        <f>+L21+L49+L77+L83+L138</f>
        <v>12227919.119999999</v>
      </c>
      <c r="M12" s="55">
        <f>+M21+M49+M77+M83+M138</f>
        <v>1921175.2593749999</v>
      </c>
      <c r="N12" s="55">
        <f>+N21+N49+N77+N83+N138</f>
        <v>14149094.379375</v>
      </c>
      <c r="O12" s="55"/>
      <c r="P12" s="55"/>
      <c r="Q12" s="55">
        <f t="shared" ref="Q12:AF12" si="0">+Q21+Q49+Q77+Q83+Q138</f>
        <v>1414909.4379374995</v>
      </c>
      <c r="R12" s="55">
        <f t="shared" si="0"/>
        <v>2829818.875874999</v>
      </c>
      <c r="S12" s="55">
        <f t="shared" si="0"/>
        <v>187588.20000000007</v>
      </c>
      <c r="T12" s="55">
        <f t="shared" si="0"/>
        <v>67425.569999999992</v>
      </c>
      <c r="U12" s="55">
        <f t="shared" si="0"/>
        <v>6194</v>
      </c>
      <c r="V12" s="55">
        <f t="shared" si="0"/>
        <v>85569.59</v>
      </c>
      <c r="W12" s="55">
        <f t="shared" si="0"/>
        <v>87514.33</v>
      </c>
      <c r="X12" s="55">
        <f t="shared" si="0"/>
        <v>10618</v>
      </c>
      <c r="Y12" s="55">
        <f t="shared" si="0"/>
        <v>0</v>
      </c>
      <c r="Z12" s="55">
        <f t="shared" si="0"/>
        <v>177323.93999999994</v>
      </c>
      <c r="AA12" s="55">
        <f t="shared" si="0"/>
        <v>289876.86</v>
      </c>
      <c r="AB12" s="55">
        <f t="shared" si="0"/>
        <v>125560.215</v>
      </c>
      <c r="AC12" s="55">
        <f t="shared" si="0"/>
        <v>0</v>
      </c>
      <c r="AD12" s="55">
        <f t="shared" si="0"/>
        <v>903874.27500000002</v>
      </c>
      <c r="AE12" s="55">
        <f t="shared" si="0"/>
        <v>20335367.673187494</v>
      </c>
      <c r="AF12" s="55">
        <f t="shared" si="0"/>
        <v>244024.41207825</v>
      </c>
    </row>
    <row r="13" spans="1:38" s="105" customFormat="1" ht="14.25" customHeight="1">
      <c r="A13" s="95">
        <v>1</v>
      </c>
      <c r="B13" s="101" t="s">
        <v>107</v>
      </c>
      <c r="C13" s="301"/>
      <c r="D13" s="302" t="s">
        <v>193</v>
      </c>
      <c r="E13" s="63" t="s">
        <v>50</v>
      </c>
      <c r="F13" s="303">
        <v>1</v>
      </c>
      <c r="G13" s="304" t="s">
        <v>195</v>
      </c>
      <c r="H13" s="305">
        <v>34.01</v>
      </c>
      <c r="I13" s="306">
        <v>6.22</v>
      </c>
      <c r="J13" s="68">
        <v>17697</v>
      </c>
      <c r="K13" s="96">
        <v>2</v>
      </c>
      <c r="L13" s="68">
        <f>J13*F13*I13*K13</f>
        <v>220150.68</v>
      </c>
      <c r="M13" s="68">
        <f>L13*25%</f>
        <v>55037.67</v>
      </c>
      <c r="N13" s="68">
        <f>L13+M13</f>
        <v>275188.34999999998</v>
      </c>
      <c r="O13" s="68"/>
      <c r="P13" s="68"/>
      <c r="Q13" s="68">
        <f t="shared" ref="Q13:Q20" si="1">N13*10%</f>
        <v>27518.834999999999</v>
      </c>
      <c r="R13" s="68">
        <f>N13*20%</f>
        <v>55037.67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109">
        <f>SUM(N13:AD13)</f>
        <v>357744.85499999998</v>
      </c>
      <c r="AF13" s="109">
        <f>(AE13*12)/1000</f>
        <v>4292.9382599999999</v>
      </c>
    </row>
    <row r="14" spans="1:38" s="105" customFormat="1" ht="14.25" customHeight="1">
      <c r="A14" s="95">
        <v>2</v>
      </c>
      <c r="B14" s="79" t="s">
        <v>197</v>
      </c>
      <c r="C14" s="97" t="s">
        <v>87</v>
      </c>
      <c r="D14" s="97" t="s">
        <v>196</v>
      </c>
      <c r="E14" s="63" t="s">
        <v>50</v>
      </c>
      <c r="F14" s="95">
        <v>1</v>
      </c>
      <c r="G14" s="304" t="s">
        <v>198</v>
      </c>
      <c r="H14" s="65">
        <v>21.11</v>
      </c>
      <c r="I14" s="307">
        <v>5.74</v>
      </c>
      <c r="J14" s="68">
        <v>17697</v>
      </c>
      <c r="K14" s="96">
        <v>2</v>
      </c>
      <c r="L14" s="68">
        <f t="shared" ref="L14:L20" si="2">J14*F14*I14*K14</f>
        <v>203161.56</v>
      </c>
      <c r="M14" s="68">
        <f t="shared" ref="M14:M73" si="3">L14*25%</f>
        <v>50790.39</v>
      </c>
      <c r="N14" s="68">
        <f t="shared" ref="N14:N20" si="4">L14+M14</f>
        <v>253951.95</v>
      </c>
      <c r="O14" s="68"/>
      <c r="P14" s="68"/>
      <c r="Q14" s="68">
        <f t="shared" si="1"/>
        <v>25395.195000000003</v>
      </c>
      <c r="R14" s="68">
        <f t="shared" ref="R14:R20" si="5">N14*20%</f>
        <v>50790.390000000007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>
        <f>N14*50%</f>
        <v>126975.97500000001</v>
      </c>
      <c r="AE14" s="109">
        <f t="shared" ref="AE14:AE20" si="6">SUM(N14:AD14)</f>
        <v>457113.51</v>
      </c>
      <c r="AF14" s="109">
        <f t="shared" ref="AF14:AF76" si="7">(AE14*12)/1000</f>
        <v>5485.3621199999998</v>
      </c>
    </row>
    <row r="15" spans="1:38" s="105" customFormat="1" ht="14.25" customHeight="1">
      <c r="A15" s="95">
        <v>3</v>
      </c>
      <c r="B15" s="79" t="s">
        <v>199</v>
      </c>
      <c r="C15" s="97" t="s">
        <v>87</v>
      </c>
      <c r="D15" s="97" t="s">
        <v>196</v>
      </c>
      <c r="E15" s="63" t="s">
        <v>50</v>
      </c>
      <c r="F15" s="95">
        <v>1</v>
      </c>
      <c r="G15" s="304" t="s">
        <v>198</v>
      </c>
      <c r="H15" s="98">
        <v>24.05</v>
      </c>
      <c r="I15" s="307">
        <v>5.74</v>
      </c>
      <c r="J15" s="68">
        <v>17697</v>
      </c>
      <c r="K15" s="96">
        <v>2</v>
      </c>
      <c r="L15" s="68">
        <f t="shared" si="2"/>
        <v>203161.56</v>
      </c>
      <c r="M15" s="68">
        <f t="shared" si="3"/>
        <v>50790.39</v>
      </c>
      <c r="N15" s="68">
        <f t="shared" si="4"/>
        <v>253951.95</v>
      </c>
      <c r="O15" s="68"/>
      <c r="P15" s="68"/>
      <c r="Q15" s="68">
        <f t="shared" si="1"/>
        <v>25395.195000000003</v>
      </c>
      <c r="R15" s="68">
        <f t="shared" si="5"/>
        <v>50790.390000000007</v>
      </c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>
        <f>N15*50%</f>
        <v>126975.97500000001</v>
      </c>
      <c r="AE15" s="109">
        <f t="shared" si="6"/>
        <v>457113.51</v>
      </c>
      <c r="AF15" s="109">
        <f t="shared" si="7"/>
        <v>5485.3621199999998</v>
      </c>
    </row>
    <row r="16" spans="1:38" s="105" customFormat="1" ht="14.25" customHeight="1">
      <c r="A16" s="95">
        <v>4</v>
      </c>
      <c r="B16" s="79" t="s">
        <v>200</v>
      </c>
      <c r="C16" s="103" t="s">
        <v>634</v>
      </c>
      <c r="D16" s="97" t="s">
        <v>196</v>
      </c>
      <c r="E16" s="63" t="s">
        <v>50</v>
      </c>
      <c r="F16" s="303">
        <v>1</v>
      </c>
      <c r="G16" s="304" t="s">
        <v>198</v>
      </c>
      <c r="H16" s="308">
        <v>33.07</v>
      </c>
      <c r="I16" s="307">
        <v>5.91</v>
      </c>
      <c r="J16" s="68">
        <v>17697</v>
      </c>
      <c r="K16" s="96">
        <v>2</v>
      </c>
      <c r="L16" s="68">
        <f t="shared" si="2"/>
        <v>209178.54</v>
      </c>
      <c r="M16" s="68">
        <f t="shared" si="3"/>
        <v>52294.635000000002</v>
      </c>
      <c r="N16" s="68">
        <f t="shared" si="4"/>
        <v>261473.17500000002</v>
      </c>
      <c r="O16" s="68"/>
      <c r="P16" s="68"/>
      <c r="Q16" s="68">
        <f t="shared" si="1"/>
        <v>26147.317500000005</v>
      </c>
      <c r="R16" s="68">
        <f t="shared" si="5"/>
        <v>52294.635000000009</v>
      </c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>
        <f>N16*50%</f>
        <v>130736.58750000001</v>
      </c>
      <c r="AE16" s="109">
        <f t="shared" si="6"/>
        <v>470651.71500000008</v>
      </c>
      <c r="AF16" s="109">
        <f t="shared" si="7"/>
        <v>5647.8205800000014</v>
      </c>
    </row>
    <row r="17" spans="1:32" s="105" customFormat="1" ht="26.25" customHeight="1">
      <c r="A17" s="95">
        <v>5</v>
      </c>
      <c r="B17" s="79" t="s">
        <v>48</v>
      </c>
      <c r="C17" s="97" t="s">
        <v>627</v>
      </c>
      <c r="D17" s="309" t="s">
        <v>201</v>
      </c>
      <c r="E17" s="63" t="s">
        <v>50</v>
      </c>
      <c r="F17" s="95">
        <v>1</v>
      </c>
      <c r="G17" s="304" t="s">
        <v>198</v>
      </c>
      <c r="H17" s="65">
        <v>26.11</v>
      </c>
      <c r="I17" s="307">
        <v>5.91</v>
      </c>
      <c r="J17" s="68">
        <v>17697</v>
      </c>
      <c r="K17" s="96">
        <v>2</v>
      </c>
      <c r="L17" s="68">
        <f t="shared" si="2"/>
        <v>209178.54</v>
      </c>
      <c r="M17" s="68">
        <f t="shared" si="3"/>
        <v>52294.635000000002</v>
      </c>
      <c r="N17" s="68">
        <f t="shared" si="4"/>
        <v>261473.17500000002</v>
      </c>
      <c r="O17" s="68"/>
      <c r="P17" s="68"/>
      <c r="Q17" s="68">
        <f t="shared" si="1"/>
        <v>26147.317500000005</v>
      </c>
      <c r="R17" s="68">
        <f t="shared" si="5"/>
        <v>52294.635000000009</v>
      </c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>
        <f>N17*100%</f>
        <v>261473.17500000002</v>
      </c>
      <c r="AE17" s="109">
        <f t="shared" si="6"/>
        <v>601388.30250000011</v>
      </c>
      <c r="AF17" s="109">
        <f t="shared" si="7"/>
        <v>7216.659630000001</v>
      </c>
    </row>
    <row r="18" spans="1:32" s="105" customFormat="1" ht="14.25" customHeight="1">
      <c r="A18" s="95">
        <v>6</v>
      </c>
      <c r="B18" s="79" t="s">
        <v>202</v>
      </c>
      <c r="C18" s="97" t="s">
        <v>563</v>
      </c>
      <c r="D18" s="468" t="s">
        <v>839</v>
      </c>
      <c r="E18" s="63" t="s">
        <v>50</v>
      </c>
      <c r="F18" s="95">
        <v>1</v>
      </c>
      <c r="G18" s="52" t="s">
        <v>198</v>
      </c>
      <c r="H18" s="65">
        <v>38.1</v>
      </c>
      <c r="I18" s="307">
        <v>5.91</v>
      </c>
      <c r="J18" s="68">
        <v>17697</v>
      </c>
      <c r="K18" s="96">
        <v>2</v>
      </c>
      <c r="L18" s="68">
        <f t="shared" si="2"/>
        <v>209178.54</v>
      </c>
      <c r="M18" s="68">
        <f t="shared" si="3"/>
        <v>52294.635000000002</v>
      </c>
      <c r="N18" s="68">
        <f t="shared" si="4"/>
        <v>261473.17500000002</v>
      </c>
      <c r="O18" s="68"/>
      <c r="P18" s="68"/>
      <c r="Q18" s="68">
        <f t="shared" si="1"/>
        <v>26147.317500000005</v>
      </c>
      <c r="R18" s="68">
        <f t="shared" si="5"/>
        <v>52294.635000000009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>
        <f>N18*50%</f>
        <v>130736.58750000001</v>
      </c>
      <c r="AE18" s="109">
        <f t="shared" si="6"/>
        <v>470651.71500000008</v>
      </c>
      <c r="AF18" s="109">
        <f t="shared" si="7"/>
        <v>5647.8205800000014</v>
      </c>
    </row>
    <row r="19" spans="1:32" s="105" customFormat="1" ht="14.25" customHeight="1">
      <c r="A19" s="95">
        <v>7</v>
      </c>
      <c r="B19" s="432" t="s">
        <v>203</v>
      </c>
      <c r="C19" s="310" t="s">
        <v>628</v>
      </c>
      <c r="D19" s="468" t="s">
        <v>839</v>
      </c>
      <c r="E19" s="63" t="s">
        <v>50</v>
      </c>
      <c r="F19" s="95">
        <v>1</v>
      </c>
      <c r="G19" s="52" t="s">
        <v>198</v>
      </c>
      <c r="H19" s="65">
        <v>21.11</v>
      </c>
      <c r="I19" s="307">
        <v>5.74</v>
      </c>
      <c r="J19" s="68">
        <v>17697</v>
      </c>
      <c r="K19" s="96">
        <v>2</v>
      </c>
      <c r="L19" s="68">
        <f t="shared" si="2"/>
        <v>203161.56</v>
      </c>
      <c r="M19" s="68">
        <f t="shared" si="3"/>
        <v>50790.39</v>
      </c>
      <c r="N19" s="68">
        <f t="shared" si="4"/>
        <v>253951.95</v>
      </c>
      <c r="O19" s="68"/>
      <c r="P19" s="68"/>
      <c r="Q19" s="68">
        <f t="shared" si="1"/>
        <v>25395.195000000003</v>
      </c>
      <c r="R19" s="68">
        <f t="shared" si="5"/>
        <v>50790.390000000007</v>
      </c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>
        <f>N19*50%</f>
        <v>126975.97500000001</v>
      </c>
      <c r="AE19" s="109">
        <f t="shared" si="6"/>
        <v>457113.51</v>
      </c>
      <c r="AF19" s="109">
        <f t="shared" si="7"/>
        <v>5485.3621199999998</v>
      </c>
    </row>
    <row r="20" spans="1:32" s="105" customFormat="1" ht="24" customHeight="1">
      <c r="A20" s="95">
        <v>8</v>
      </c>
      <c r="B20" s="461" t="s">
        <v>204</v>
      </c>
      <c r="C20" s="99" t="s">
        <v>795</v>
      </c>
      <c r="D20" s="468" t="s">
        <v>382</v>
      </c>
      <c r="E20" s="100" t="s">
        <v>205</v>
      </c>
      <c r="F20" s="95">
        <v>1</v>
      </c>
      <c r="G20" s="52" t="s">
        <v>206</v>
      </c>
      <c r="H20" s="284">
        <v>7.07</v>
      </c>
      <c r="I20" s="311">
        <v>5.0199999999999996</v>
      </c>
      <c r="J20" s="68">
        <v>17697</v>
      </c>
      <c r="K20" s="96">
        <v>1.45</v>
      </c>
      <c r="L20" s="68">
        <f t="shared" si="2"/>
        <v>128816.46299999997</v>
      </c>
      <c r="M20" s="68"/>
      <c r="N20" s="68">
        <f t="shared" si="4"/>
        <v>128816.46299999997</v>
      </c>
      <c r="O20" s="68"/>
      <c r="P20" s="68"/>
      <c r="Q20" s="68">
        <f t="shared" si="1"/>
        <v>12881.646299999999</v>
      </c>
      <c r="R20" s="68">
        <f t="shared" si="5"/>
        <v>25763.292599999997</v>
      </c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109">
        <f t="shared" si="6"/>
        <v>167461.40189999997</v>
      </c>
      <c r="AF20" s="109">
        <f t="shared" si="7"/>
        <v>2009.5368227999998</v>
      </c>
    </row>
    <row r="21" spans="1:32" s="105" customFormat="1" ht="11.25" customHeight="1">
      <c r="A21" s="362"/>
      <c r="B21" s="366" t="s">
        <v>376</v>
      </c>
      <c r="C21" s="367"/>
      <c r="D21" s="368"/>
      <c r="E21" s="369"/>
      <c r="F21" s="370">
        <f t="shared" ref="F21" si="8">SUM(F13:F20)</f>
        <v>8</v>
      </c>
      <c r="G21" s="371"/>
      <c r="H21" s="371"/>
      <c r="I21" s="371"/>
      <c r="J21" s="371"/>
      <c r="K21" s="371"/>
      <c r="L21" s="371">
        <f>SUM(L13:L20)</f>
        <v>1585987.4430000002</v>
      </c>
      <c r="M21" s="371">
        <f t="shared" ref="M21:AF21" si="9">SUM(M13:M20)</f>
        <v>364292.74500000005</v>
      </c>
      <c r="N21" s="371">
        <f t="shared" si="9"/>
        <v>1950280.1880000001</v>
      </c>
      <c r="O21" s="371"/>
      <c r="P21" s="371"/>
      <c r="Q21" s="371">
        <f t="shared" si="9"/>
        <v>195028.01880000002</v>
      </c>
      <c r="R21" s="371">
        <f t="shared" si="9"/>
        <v>390056.03760000004</v>
      </c>
      <c r="S21" s="371">
        <f t="shared" si="9"/>
        <v>0</v>
      </c>
      <c r="T21" s="371">
        <f t="shared" si="9"/>
        <v>0</v>
      </c>
      <c r="U21" s="371">
        <f t="shared" si="9"/>
        <v>0</v>
      </c>
      <c r="V21" s="371">
        <f t="shared" si="9"/>
        <v>0</v>
      </c>
      <c r="W21" s="371">
        <f t="shared" si="9"/>
        <v>0</v>
      </c>
      <c r="X21" s="371">
        <f t="shared" si="9"/>
        <v>0</v>
      </c>
      <c r="Y21" s="371">
        <f t="shared" si="9"/>
        <v>0</v>
      </c>
      <c r="Z21" s="371">
        <f t="shared" si="9"/>
        <v>0</v>
      </c>
      <c r="AA21" s="371">
        <f t="shared" si="9"/>
        <v>0</v>
      </c>
      <c r="AB21" s="371">
        <f t="shared" si="9"/>
        <v>0</v>
      </c>
      <c r="AC21" s="371">
        <f t="shared" si="9"/>
        <v>0</v>
      </c>
      <c r="AD21" s="371">
        <f t="shared" si="9"/>
        <v>903874.27500000002</v>
      </c>
      <c r="AE21" s="371">
        <f t="shared" si="9"/>
        <v>3439238.5193999996</v>
      </c>
      <c r="AF21" s="371">
        <f t="shared" si="9"/>
        <v>41270.862232800006</v>
      </c>
    </row>
    <row r="22" spans="1:32" s="105" customFormat="1" ht="13.5" customHeight="1">
      <c r="A22" s="95">
        <v>9</v>
      </c>
      <c r="B22" s="79" t="s">
        <v>208</v>
      </c>
      <c r="C22" s="79" t="s">
        <v>207</v>
      </c>
      <c r="D22" s="312" t="s">
        <v>207</v>
      </c>
      <c r="E22" s="80" t="s">
        <v>50</v>
      </c>
      <c r="F22" s="95">
        <v>1</v>
      </c>
      <c r="G22" s="313" t="s">
        <v>209</v>
      </c>
      <c r="H22" s="96">
        <v>22</v>
      </c>
      <c r="I22" s="96">
        <v>5.12</v>
      </c>
      <c r="J22" s="68">
        <v>17697</v>
      </c>
      <c r="K22" s="96">
        <v>2</v>
      </c>
      <c r="L22" s="68">
        <f t="shared" ref="L22:L48" si="10">J22*F22*I22*K22</f>
        <v>181217.28</v>
      </c>
      <c r="M22" s="68">
        <f t="shared" si="3"/>
        <v>45304.32</v>
      </c>
      <c r="N22" s="68">
        <f t="shared" ref="N22:N48" si="11">L22+M22</f>
        <v>226521.60000000001</v>
      </c>
      <c r="O22" s="68"/>
      <c r="P22" s="68"/>
      <c r="Q22" s="68">
        <f t="shared" ref="Q22:Q48" si="12">N22*10%</f>
        <v>22652.160000000003</v>
      </c>
      <c r="R22" s="68">
        <f t="shared" ref="R22:R48" si="13">N22*20%</f>
        <v>45304.320000000007</v>
      </c>
      <c r="S22" s="66"/>
      <c r="T22" s="66"/>
      <c r="U22" s="66"/>
      <c r="V22" s="66"/>
      <c r="W22" s="66"/>
      <c r="X22" s="66"/>
      <c r="Y22" s="66"/>
      <c r="Z22" s="66"/>
      <c r="AA22" s="66">
        <f>N22*35%</f>
        <v>79282.559999999998</v>
      </c>
      <c r="AB22" s="66"/>
      <c r="AC22" s="66"/>
      <c r="AD22" s="66"/>
      <c r="AE22" s="109">
        <f t="shared" ref="AE22" si="14">SUM(N22:AD22)</f>
        <v>373760.64</v>
      </c>
      <c r="AF22" s="109">
        <f t="shared" si="7"/>
        <v>4485.1276799999996</v>
      </c>
    </row>
    <row r="23" spans="1:32" s="105" customFormat="1" ht="13.5" customHeight="1">
      <c r="A23" s="95">
        <v>10</v>
      </c>
      <c r="B23" s="79" t="s">
        <v>210</v>
      </c>
      <c r="C23" s="79" t="s">
        <v>207</v>
      </c>
      <c r="D23" s="312" t="s">
        <v>207</v>
      </c>
      <c r="E23" s="80" t="s">
        <v>50</v>
      </c>
      <c r="F23" s="95">
        <v>1</v>
      </c>
      <c r="G23" s="313" t="s">
        <v>211</v>
      </c>
      <c r="H23" s="314">
        <v>15</v>
      </c>
      <c r="I23" s="96">
        <v>4.9000000000000004</v>
      </c>
      <c r="J23" s="68">
        <v>17697</v>
      </c>
      <c r="K23" s="96">
        <v>2</v>
      </c>
      <c r="L23" s="68">
        <f t="shared" si="10"/>
        <v>173430.6</v>
      </c>
      <c r="M23" s="68">
        <f t="shared" si="3"/>
        <v>43357.65</v>
      </c>
      <c r="N23" s="68">
        <f t="shared" si="11"/>
        <v>216788.25</v>
      </c>
      <c r="O23" s="68"/>
      <c r="P23" s="68"/>
      <c r="Q23" s="68">
        <f t="shared" si="12"/>
        <v>21678.825000000001</v>
      </c>
      <c r="R23" s="68">
        <f t="shared" si="13"/>
        <v>43357.65</v>
      </c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109">
        <f t="shared" ref="AE23:AE48" si="15">SUM(N23:AD23)</f>
        <v>281824.72500000003</v>
      </c>
      <c r="AF23" s="109">
        <f t="shared" si="7"/>
        <v>3381.8967000000002</v>
      </c>
    </row>
    <row r="24" spans="1:32" s="105" customFormat="1" ht="13.5" customHeight="1">
      <c r="A24" s="95">
        <v>11</v>
      </c>
      <c r="B24" s="79" t="s">
        <v>212</v>
      </c>
      <c r="C24" s="79" t="s">
        <v>207</v>
      </c>
      <c r="D24" s="312" t="s">
        <v>207</v>
      </c>
      <c r="E24" s="80" t="s">
        <v>50</v>
      </c>
      <c r="F24" s="95">
        <v>1</v>
      </c>
      <c r="G24" s="313" t="s">
        <v>213</v>
      </c>
      <c r="H24" s="314">
        <v>9.0299999999999994</v>
      </c>
      <c r="I24" s="96">
        <v>4.79</v>
      </c>
      <c r="J24" s="68">
        <v>17697</v>
      </c>
      <c r="K24" s="96">
        <v>2</v>
      </c>
      <c r="L24" s="68">
        <f t="shared" si="10"/>
        <v>169537.26</v>
      </c>
      <c r="M24" s="68">
        <f t="shared" si="3"/>
        <v>42384.315000000002</v>
      </c>
      <c r="N24" s="68">
        <f t="shared" si="11"/>
        <v>211921.57500000001</v>
      </c>
      <c r="O24" s="68"/>
      <c r="P24" s="68"/>
      <c r="Q24" s="68">
        <f t="shared" si="12"/>
        <v>21192.157500000001</v>
      </c>
      <c r="R24" s="68">
        <f t="shared" si="13"/>
        <v>42384.315000000002</v>
      </c>
      <c r="S24" s="66"/>
      <c r="T24" s="66"/>
      <c r="U24" s="66"/>
      <c r="V24" s="66"/>
      <c r="W24" s="66"/>
      <c r="X24" s="66"/>
      <c r="Y24" s="66"/>
      <c r="Z24" s="66"/>
      <c r="AA24" s="66">
        <f>N24*35%</f>
        <v>74172.551250000004</v>
      </c>
      <c r="AB24" s="66"/>
      <c r="AC24" s="66"/>
      <c r="AD24" s="66"/>
      <c r="AE24" s="109">
        <f t="shared" si="15"/>
        <v>349670.59875</v>
      </c>
      <c r="AF24" s="109">
        <f t="shared" si="7"/>
        <v>4196.0471850000004</v>
      </c>
    </row>
    <row r="25" spans="1:32" s="105" customFormat="1" ht="13.5" customHeight="1">
      <c r="A25" s="95">
        <v>12</v>
      </c>
      <c r="B25" s="101" t="s">
        <v>215</v>
      </c>
      <c r="C25" s="101" t="s">
        <v>423</v>
      </c>
      <c r="D25" s="101" t="s">
        <v>423</v>
      </c>
      <c r="E25" s="80" t="s">
        <v>50</v>
      </c>
      <c r="F25" s="95">
        <v>1</v>
      </c>
      <c r="G25" s="69" t="s">
        <v>216</v>
      </c>
      <c r="H25" s="315">
        <v>23.03</v>
      </c>
      <c r="I25" s="110">
        <v>4.12</v>
      </c>
      <c r="J25" s="68">
        <v>17697</v>
      </c>
      <c r="K25" s="96">
        <v>2</v>
      </c>
      <c r="L25" s="68">
        <f t="shared" si="10"/>
        <v>145823.28</v>
      </c>
      <c r="M25" s="68">
        <f t="shared" si="3"/>
        <v>36455.82</v>
      </c>
      <c r="N25" s="68">
        <f t="shared" si="11"/>
        <v>182279.1</v>
      </c>
      <c r="O25" s="68"/>
      <c r="P25" s="68"/>
      <c r="Q25" s="68">
        <f t="shared" si="12"/>
        <v>18227.91</v>
      </c>
      <c r="R25" s="68">
        <f t="shared" si="13"/>
        <v>36455.82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109">
        <f t="shared" si="15"/>
        <v>236962.83000000002</v>
      </c>
      <c r="AF25" s="109">
        <f t="shared" si="7"/>
        <v>2843.5539600000002</v>
      </c>
    </row>
    <row r="26" spans="1:32" s="105" customFormat="1" ht="14.25" customHeight="1">
      <c r="A26" s="95">
        <v>13</v>
      </c>
      <c r="B26" s="79" t="s">
        <v>107</v>
      </c>
      <c r="C26" s="101"/>
      <c r="D26" s="101" t="s">
        <v>423</v>
      </c>
      <c r="E26" s="80" t="s">
        <v>50</v>
      </c>
      <c r="F26" s="95">
        <v>1</v>
      </c>
      <c r="G26" s="313" t="s">
        <v>226</v>
      </c>
      <c r="H26" s="314">
        <v>16.05</v>
      </c>
      <c r="I26" s="96">
        <v>4.0599999999999996</v>
      </c>
      <c r="J26" s="68">
        <v>17697</v>
      </c>
      <c r="K26" s="96">
        <v>2</v>
      </c>
      <c r="L26" s="68">
        <f t="shared" si="10"/>
        <v>143699.63999999998</v>
      </c>
      <c r="M26" s="68">
        <f t="shared" si="3"/>
        <v>35924.909999999996</v>
      </c>
      <c r="N26" s="68">
        <f t="shared" si="11"/>
        <v>179624.55</v>
      </c>
      <c r="O26" s="68"/>
      <c r="P26" s="68"/>
      <c r="Q26" s="68">
        <f t="shared" si="12"/>
        <v>17962.454999999998</v>
      </c>
      <c r="R26" s="68">
        <f t="shared" si="13"/>
        <v>35924.909999999996</v>
      </c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109">
        <f t="shared" si="15"/>
        <v>233511.91499999998</v>
      </c>
      <c r="AF26" s="109">
        <f t="shared" si="7"/>
        <v>2802.1429799999996</v>
      </c>
    </row>
    <row r="27" spans="1:32" s="105" customFormat="1" ht="13.5" customHeight="1">
      <c r="A27" s="95">
        <v>14</v>
      </c>
      <c r="B27" s="79" t="s">
        <v>217</v>
      </c>
      <c r="C27" s="101" t="s">
        <v>214</v>
      </c>
      <c r="D27" s="101" t="s">
        <v>214</v>
      </c>
      <c r="E27" s="80" t="s">
        <v>50</v>
      </c>
      <c r="F27" s="95">
        <v>1</v>
      </c>
      <c r="G27" s="313" t="s">
        <v>218</v>
      </c>
      <c r="H27" s="314">
        <v>8.0299999999999994</v>
      </c>
      <c r="I27" s="96">
        <v>4.1399999999999997</v>
      </c>
      <c r="J27" s="68">
        <v>17697</v>
      </c>
      <c r="K27" s="96">
        <v>2</v>
      </c>
      <c r="L27" s="68">
        <f t="shared" si="10"/>
        <v>146531.15999999997</v>
      </c>
      <c r="M27" s="68">
        <f t="shared" si="3"/>
        <v>36632.789999999994</v>
      </c>
      <c r="N27" s="68">
        <f t="shared" si="11"/>
        <v>183163.94999999995</v>
      </c>
      <c r="O27" s="68"/>
      <c r="P27" s="68"/>
      <c r="Q27" s="68">
        <f t="shared" si="12"/>
        <v>18316.394999999997</v>
      </c>
      <c r="R27" s="68">
        <f t="shared" si="13"/>
        <v>36632.789999999994</v>
      </c>
      <c r="S27" s="66"/>
      <c r="T27" s="66"/>
      <c r="U27" s="66"/>
      <c r="V27" s="66"/>
      <c r="W27" s="66"/>
      <c r="X27" s="66"/>
      <c r="Y27" s="66"/>
      <c r="Z27" s="66">
        <f>N27*30%</f>
        <v>54949.184999999983</v>
      </c>
      <c r="AA27" s="66"/>
      <c r="AB27" s="66"/>
      <c r="AC27" s="66"/>
      <c r="AD27" s="66"/>
      <c r="AE27" s="109">
        <f t="shared" si="15"/>
        <v>293062.31999999995</v>
      </c>
      <c r="AF27" s="109">
        <f t="shared" si="7"/>
        <v>3516.7478399999995</v>
      </c>
    </row>
    <row r="28" spans="1:32" s="105" customFormat="1" ht="13.5" customHeight="1">
      <c r="A28" s="95">
        <v>15</v>
      </c>
      <c r="B28" s="79" t="s">
        <v>219</v>
      </c>
      <c r="C28" s="79" t="s">
        <v>630</v>
      </c>
      <c r="D28" s="316" t="s">
        <v>375</v>
      </c>
      <c r="E28" s="80" t="s">
        <v>50</v>
      </c>
      <c r="F28" s="95">
        <v>1</v>
      </c>
      <c r="G28" s="313" t="s">
        <v>211</v>
      </c>
      <c r="H28" s="314">
        <v>24.01</v>
      </c>
      <c r="I28" s="96">
        <v>5.08</v>
      </c>
      <c r="J28" s="68">
        <v>17697</v>
      </c>
      <c r="K28" s="96">
        <v>2</v>
      </c>
      <c r="L28" s="68">
        <f t="shared" si="10"/>
        <v>179801.52</v>
      </c>
      <c r="M28" s="68">
        <f t="shared" si="3"/>
        <v>44950.38</v>
      </c>
      <c r="N28" s="68">
        <f t="shared" si="11"/>
        <v>224751.9</v>
      </c>
      <c r="O28" s="68"/>
      <c r="P28" s="68"/>
      <c r="Q28" s="68">
        <f t="shared" si="12"/>
        <v>22475.190000000002</v>
      </c>
      <c r="R28" s="68">
        <f t="shared" si="13"/>
        <v>44950.380000000005</v>
      </c>
      <c r="S28" s="66"/>
      <c r="T28" s="66">
        <f>N28*30%</f>
        <v>67425.569999999992</v>
      </c>
      <c r="U28" s="66"/>
      <c r="V28" s="66"/>
      <c r="W28" s="66"/>
      <c r="X28" s="66"/>
      <c r="Y28" s="66"/>
      <c r="Z28" s="66">
        <f>N28*30%</f>
        <v>67425.569999999992</v>
      </c>
      <c r="AA28" s="66"/>
      <c r="AB28" s="66"/>
      <c r="AC28" s="66"/>
      <c r="AD28" s="66"/>
      <c r="AE28" s="109">
        <f t="shared" si="15"/>
        <v>427028.61</v>
      </c>
      <c r="AF28" s="109">
        <f t="shared" si="7"/>
        <v>5124.3433199999999</v>
      </c>
    </row>
    <row r="29" spans="1:32" s="105" customFormat="1" ht="13.5" customHeight="1">
      <c r="A29" s="95">
        <v>16</v>
      </c>
      <c r="B29" s="216" t="s">
        <v>221</v>
      </c>
      <c r="C29" s="78" t="s">
        <v>631</v>
      </c>
      <c r="D29" s="97" t="s">
        <v>220</v>
      </c>
      <c r="E29" s="80" t="s">
        <v>50</v>
      </c>
      <c r="F29" s="95">
        <v>1</v>
      </c>
      <c r="G29" s="69" t="s">
        <v>216</v>
      </c>
      <c r="H29" s="314">
        <v>6.08</v>
      </c>
      <c r="I29" s="96">
        <v>3.78</v>
      </c>
      <c r="J29" s="68">
        <v>17697</v>
      </c>
      <c r="K29" s="96">
        <v>2</v>
      </c>
      <c r="L29" s="68">
        <f t="shared" si="10"/>
        <v>133789.32</v>
      </c>
      <c r="M29" s="68">
        <f t="shared" si="3"/>
        <v>33447.33</v>
      </c>
      <c r="N29" s="68">
        <f t="shared" si="11"/>
        <v>167236.65000000002</v>
      </c>
      <c r="O29" s="68"/>
      <c r="P29" s="68"/>
      <c r="Q29" s="68">
        <f t="shared" si="12"/>
        <v>16723.665000000005</v>
      </c>
      <c r="R29" s="68">
        <f t="shared" si="13"/>
        <v>33447.330000000009</v>
      </c>
      <c r="S29" s="66"/>
      <c r="T29" s="66"/>
      <c r="U29" s="66"/>
      <c r="V29" s="66"/>
      <c r="W29" s="66"/>
      <c r="X29" s="66"/>
      <c r="Y29" s="66"/>
      <c r="Z29" s="317"/>
      <c r="AA29" s="66"/>
      <c r="AB29" s="66"/>
      <c r="AC29" s="66"/>
      <c r="AD29" s="66"/>
      <c r="AE29" s="109">
        <f t="shared" si="15"/>
        <v>217407.64500000005</v>
      </c>
      <c r="AF29" s="109">
        <f t="shared" si="7"/>
        <v>2608.8917400000005</v>
      </c>
    </row>
    <row r="30" spans="1:32" s="105" customFormat="1" ht="13.5" customHeight="1">
      <c r="A30" s="95">
        <v>17</v>
      </c>
      <c r="B30" s="81" t="s">
        <v>469</v>
      </c>
      <c r="C30" s="78" t="s">
        <v>631</v>
      </c>
      <c r="D30" s="97" t="s">
        <v>220</v>
      </c>
      <c r="E30" s="80" t="s">
        <v>50</v>
      </c>
      <c r="F30" s="95">
        <v>1</v>
      </c>
      <c r="G30" s="313" t="s">
        <v>222</v>
      </c>
      <c r="H30" s="314">
        <v>9.08</v>
      </c>
      <c r="I30" s="96">
        <v>3.85</v>
      </c>
      <c r="J30" s="68">
        <v>17697</v>
      </c>
      <c r="K30" s="96">
        <v>2</v>
      </c>
      <c r="L30" s="68">
        <f t="shared" si="10"/>
        <v>136266.9</v>
      </c>
      <c r="M30" s="68">
        <f t="shared" si="3"/>
        <v>34066.724999999999</v>
      </c>
      <c r="N30" s="68">
        <f t="shared" si="11"/>
        <v>170333.625</v>
      </c>
      <c r="O30" s="68"/>
      <c r="P30" s="68"/>
      <c r="Q30" s="68">
        <f t="shared" si="12"/>
        <v>17033.362499999999</v>
      </c>
      <c r="R30" s="68">
        <f t="shared" si="13"/>
        <v>34066.724999999999</v>
      </c>
      <c r="S30" s="66"/>
      <c r="T30" s="66"/>
      <c r="U30" s="66"/>
      <c r="V30" s="66"/>
      <c r="W30" s="66"/>
      <c r="X30" s="66"/>
      <c r="Y30" s="66"/>
      <c r="Z30" s="317"/>
      <c r="AA30" s="66"/>
      <c r="AB30" s="66"/>
      <c r="AC30" s="66"/>
      <c r="AD30" s="66"/>
      <c r="AE30" s="109">
        <f t="shared" si="15"/>
        <v>221433.71249999999</v>
      </c>
      <c r="AF30" s="109">
        <f t="shared" si="7"/>
        <v>2657.2045499999999</v>
      </c>
    </row>
    <row r="31" spans="1:32" s="105" customFormat="1" ht="13.5" customHeight="1">
      <c r="A31" s="95">
        <v>18</v>
      </c>
      <c r="B31" s="102" t="s">
        <v>107</v>
      </c>
      <c r="C31" s="78" t="s">
        <v>631</v>
      </c>
      <c r="D31" s="97" t="s">
        <v>220</v>
      </c>
      <c r="E31" s="80" t="s">
        <v>50</v>
      </c>
      <c r="F31" s="95">
        <v>1</v>
      </c>
      <c r="G31" s="313" t="s">
        <v>222</v>
      </c>
      <c r="H31" s="314">
        <v>6.03</v>
      </c>
      <c r="I31" s="96">
        <v>3.78</v>
      </c>
      <c r="J31" s="68">
        <v>17697</v>
      </c>
      <c r="K31" s="96">
        <v>2</v>
      </c>
      <c r="L31" s="68">
        <f t="shared" si="10"/>
        <v>133789.32</v>
      </c>
      <c r="M31" s="68">
        <f t="shared" si="3"/>
        <v>33447.33</v>
      </c>
      <c r="N31" s="68">
        <f t="shared" si="11"/>
        <v>167236.65000000002</v>
      </c>
      <c r="O31" s="68"/>
      <c r="P31" s="68"/>
      <c r="Q31" s="68">
        <f t="shared" si="12"/>
        <v>16723.665000000005</v>
      </c>
      <c r="R31" s="68">
        <f t="shared" si="13"/>
        <v>33447.330000000009</v>
      </c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109">
        <f t="shared" si="15"/>
        <v>217407.64500000005</v>
      </c>
      <c r="AF31" s="109">
        <f t="shared" si="7"/>
        <v>2608.8917400000005</v>
      </c>
    </row>
    <row r="32" spans="1:32" s="105" customFormat="1" ht="13.5" customHeight="1">
      <c r="A32" s="95">
        <v>19</v>
      </c>
      <c r="B32" s="102" t="s">
        <v>223</v>
      </c>
      <c r="C32" s="78" t="s">
        <v>631</v>
      </c>
      <c r="D32" s="97" t="s">
        <v>220</v>
      </c>
      <c r="E32" s="80" t="s">
        <v>50</v>
      </c>
      <c r="F32" s="95">
        <v>1</v>
      </c>
      <c r="G32" s="313" t="s">
        <v>222</v>
      </c>
      <c r="H32" s="314">
        <v>14.08</v>
      </c>
      <c r="I32" s="96">
        <v>4</v>
      </c>
      <c r="J32" s="68">
        <v>17697</v>
      </c>
      <c r="K32" s="96">
        <v>2</v>
      </c>
      <c r="L32" s="68">
        <f t="shared" si="10"/>
        <v>141576</v>
      </c>
      <c r="M32" s="68">
        <f t="shared" si="3"/>
        <v>35394</v>
      </c>
      <c r="N32" s="68">
        <f t="shared" si="11"/>
        <v>176970</v>
      </c>
      <c r="O32" s="68"/>
      <c r="P32" s="68"/>
      <c r="Q32" s="68">
        <f t="shared" si="12"/>
        <v>17697</v>
      </c>
      <c r="R32" s="68">
        <f t="shared" si="13"/>
        <v>35394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109">
        <f t="shared" si="15"/>
        <v>230061</v>
      </c>
      <c r="AF32" s="109">
        <f t="shared" si="7"/>
        <v>2760.732</v>
      </c>
    </row>
    <row r="33" spans="1:32" s="105" customFormat="1" ht="13.5" customHeight="1">
      <c r="A33" s="95">
        <v>20</v>
      </c>
      <c r="B33" s="79" t="s">
        <v>225</v>
      </c>
      <c r="C33" s="79"/>
      <c r="D33" s="97" t="s">
        <v>224</v>
      </c>
      <c r="E33" s="80" t="s">
        <v>50</v>
      </c>
      <c r="F33" s="95">
        <v>1</v>
      </c>
      <c r="G33" s="313" t="s">
        <v>226</v>
      </c>
      <c r="H33" s="96">
        <v>8.1</v>
      </c>
      <c r="I33" s="95">
        <v>3.85</v>
      </c>
      <c r="J33" s="68">
        <v>17697</v>
      </c>
      <c r="K33" s="96">
        <v>2</v>
      </c>
      <c r="L33" s="68">
        <f t="shared" si="10"/>
        <v>136266.9</v>
      </c>
      <c r="M33" s="68">
        <f t="shared" si="3"/>
        <v>34066.724999999999</v>
      </c>
      <c r="N33" s="68">
        <f t="shared" si="11"/>
        <v>170333.625</v>
      </c>
      <c r="O33" s="68"/>
      <c r="P33" s="68"/>
      <c r="Q33" s="68">
        <f t="shared" si="12"/>
        <v>17033.362499999999</v>
      </c>
      <c r="R33" s="68">
        <f t="shared" si="13"/>
        <v>34066.724999999999</v>
      </c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109">
        <f t="shared" si="15"/>
        <v>221433.71249999999</v>
      </c>
      <c r="AF33" s="109">
        <f t="shared" si="7"/>
        <v>2657.2045499999999</v>
      </c>
    </row>
    <row r="34" spans="1:32" s="105" customFormat="1" ht="13.5" customHeight="1">
      <c r="A34" s="95">
        <v>21</v>
      </c>
      <c r="B34" s="62" t="s">
        <v>461</v>
      </c>
      <c r="C34" s="62"/>
      <c r="D34" s="318" t="s">
        <v>227</v>
      </c>
      <c r="E34" s="80" t="s">
        <v>50</v>
      </c>
      <c r="F34" s="95">
        <v>1</v>
      </c>
      <c r="G34" s="69" t="s">
        <v>216</v>
      </c>
      <c r="H34" s="314">
        <v>3.09</v>
      </c>
      <c r="I34" s="96">
        <v>3.71</v>
      </c>
      <c r="J34" s="68">
        <v>17697</v>
      </c>
      <c r="K34" s="96">
        <v>2</v>
      </c>
      <c r="L34" s="68">
        <f t="shared" si="10"/>
        <v>131311.74</v>
      </c>
      <c r="M34" s="68">
        <f t="shared" si="3"/>
        <v>32827.934999999998</v>
      </c>
      <c r="N34" s="68">
        <f t="shared" si="11"/>
        <v>164139.67499999999</v>
      </c>
      <c r="O34" s="68"/>
      <c r="P34" s="68"/>
      <c r="Q34" s="68">
        <f t="shared" si="12"/>
        <v>16413.967499999999</v>
      </c>
      <c r="R34" s="68">
        <f t="shared" si="13"/>
        <v>32827.934999999998</v>
      </c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109">
        <f t="shared" si="15"/>
        <v>213381.57749999998</v>
      </c>
      <c r="AF34" s="109">
        <f t="shared" si="7"/>
        <v>2560.5789299999997</v>
      </c>
    </row>
    <row r="35" spans="1:32" s="105" customFormat="1" ht="13.5" customHeight="1">
      <c r="A35" s="95">
        <v>22</v>
      </c>
      <c r="B35" s="292" t="s">
        <v>229</v>
      </c>
      <c r="C35" s="292" t="s">
        <v>628</v>
      </c>
      <c r="D35" s="97" t="s">
        <v>228</v>
      </c>
      <c r="E35" s="80" t="s">
        <v>50</v>
      </c>
      <c r="F35" s="95">
        <v>0.5</v>
      </c>
      <c r="G35" s="313" t="s">
        <v>230</v>
      </c>
      <c r="H35" s="65">
        <v>21.11</v>
      </c>
      <c r="I35" s="95">
        <v>4.6900000000000004</v>
      </c>
      <c r="J35" s="68">
        <v>17697</v>
      </c>
      <c r="K35" s="96">
        <v>2</v>
      </c>
      <c r="L35" s="68">
        <f t="shared" si="10"/>
        <v>82998.930000000008</v>
      </c>
      <c r="M35" s="68">
        <f t="shared" si="3"/>
        <v>20749.732500000002</v>
      </c>
      <c r="N35" s="68">
        <f t="shared" si="11"/>
        <v>103748.66250000001</v>
      </c>
      <c r="O35" s="68"/>
      <c r="P35" s="68"/>
      <c r="Q35" s="68">
        <f t="shared" si="12"/>
        <v>10374.866250000001</v>
      </c>
      <c r="R35" s="68">
        <f t="shared" si="13"/>
        <v>20749.732500000002</v>
      </c>
      <c r="S35" s="66"/>
      <c r="T35" s="66"/>
      <c r="U35" s="66"/>
      <c r="V35" s="66"/>
      <c r="W35" s="66"/>
      <c r="X35" s="66"/>
      <c r="Y35" s="66"/>
      <c r="Z35" s="66"/>
      <c r="AA35" s="66"/>
      <c r="AB35" s="66">
        <f>N35*40%</f>
        <v>41499.465000000004</v>
      </c>
      <c r="AC35" s="66"/>
      <c r="AD35" s="66"/>
      <c r="AE35" s="109">
        <f t="shared" si="15"/>
        <v>176372.72625000001</v>
      </c>
      <c r="AF35" s="109">
        <f t="shared" si="7"/>
        <v>2116.4727149999999</v>
      </c>
    </row>
    <row r="36" spans="1:32" s="105" customFormat="1" ht="13.5" customHeight="1">
      <c r="A36" s="95">
        <v>23</v>
      </c>
      <c r="B36" s="79" t="s">
        <v>177</v>
      </c>
      <c r="C36" s="292" t="s">
        <v>628</v>
      </c>
      <c r="D36" s="97" t="s">
        <v>228</v>
      </c>
      <c r="E36" s="80" t="s">
        <v>50</v>
      </c>
      <c r="F36" s="95">
        <v>1</v>
      </c>
      <c r="G36" s="313" t="s">
        <v>226</v>
      </c>
      <c r="H36" s="314">
        <v>5</v>
      </c>
      <c r="I36" s="96">
        <v>3.78</v>
      </c>
      <c r="J36" s="68">
        <v>17697</v>
      </c>
      <c r="K36" s="96">
        <v>2</v>
      </c>
      <c r="L36" s="68">
        <f t="shared" si="10"/>
        <v>133789.32</v>
      </c>
      <c r="M36" s="68">
        <f t="shared" si="3"/>
        <v>33447.33</v>
      </c>
      <c r="N36" s="68">
        <f t="shared" si="11"/>
        <v>167236.65000000002</v>
      </c>
      <c r="O36" s="68"/>
      <c r="P36" s="68"/>
      <c r="Q36" s="68">
        <f t="shared" si="12"/>
        <v>16723.665000000005</v>
      </c>
      <c r="R36" s="68">
        <f t="shared" si="13"/>
        <v>33447.330000000009</v>
      </c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109">
        <f t="shared" si="15"/>
        <v>217407.64500000005</v>
      </c>
      <c r="AF36" s="109">
        <f t="shared" si="7"/>
        <v>2608.8917400000005</v>
      </c>
    </row>
    <row r="37" spans="1:32" s="105" customFormat="1" ht="13.5" customHeight="1">
      <c r="A37" s="95">
        <v>24</v>
      </c>
      <c r="B37" s="79" t="s">
        <v>231</v>
      </c>
      <c r="C37" s="292" t="s">
        <v>628</v>
      </c>
      <c r="D37" s="97" t="s">
        <v>228</v>
      </c>
      <c r="E37" s="80" t="s">
        <v>50</v>
      </c>
      <c r="F37" s="95">
        <v>1</v>
      </c>
      <c r="G37" s="313" t="s">
        <v>226</v>
      </c>
      <c r="H37" s="314">
        <v>2.09</v>
      </c>
      <c r="I37" s="96">
        <v>3.64</v>
      </c>
      <c r="J37" s="68">
        <v>17697</v>
      </c>
      <c r="K37" s="96">
        <v>2</v>
      </c>
      <c r="L37" s="68">
        <f t="shared" si="10"/>
        <v>128834.16</v>
      </c>
      <c r="M37" s="68">
        <f t="shared" si="3"/>
        <v>32208.54</v>
      </c>
      <c r="N37" s="68">
        <f t="shared" si="11"/>
        <v>161042.70000000001</v>
      </c>
      <c r="O37" s="68"/>
      <c r="P37" s="68"/>
      <c r="Q37" s="68">
        <f t="shared" si="12"/>
        <v>16104.270000000002</v>
      </c>
      <c r="R37" s="68">
        <f t="shared" si="13"/>
        <v>32208.540000000005</v>
      </c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109">
        <f t="shared" si="15"/>
        <v>209355.51</v>
      </c>
      <c r="AF37" s="109">
        <f t="shared" si="7"/>
        <v>2512.2661200000002</v>
      </c>
    </row>
    <row r="38" spans="1:32" s="105" customFormat="1" ht="13.5" customHeight="1">
      <c r="A38" s="95">
        <v>25</v>
      </c>
      <c r="B38" s="79" t="s">
        <v>233</v>
      </c>
      <c r="C38" s="79" t="s">
        <v>632</v>
      </c>
      <c r="D38" s="97" t="s">
        <v>232</v>
      </c>
      <c r="E38" s="80" t="s">
        <v>50</v>
      </c>
      <c r="F38" s="95">
        <v>1</v>
      </c>
      <c r="G38" s="313" t="s">
        <v>234</v>
      </c>
      <c r="H38" s="314">
        <v>20.079999999999998</v>
      </c>
      <c r="I38" s="96">
        <v>4.4400000000000004</v>
      </c>
      <c r="J38" s="68">
        <v>17697</v>
      </c>
      <c r="K38" s="96">
        <v>2</v>
      </c>
      <c r="L38" s="68">
        <f t="shared" si="10"/>
        <v>157149.36000000002</v>
      </c>
      <c r="M38" s="68">
        <f t="shared" si="3"/>
        <v>39287.340000000004</v>
      </c>
      <c r="N38" s="68">
        <f t="shared" si="11"/>
        <v>196436.7</v>
      </c>
      <c r="O38" s="68"/>
      <c r="P38" s="68"/>
      <c r="Q38" s="68">
        <f t="shared" si="12"/>
        <v>19643.670000000002</v>
      </c>
      <c r="R38" s="68">
        <f t="shared" si="13"/>
        <v>39287.340000000004</v>
      </c>
      <c r="S38" s="66"/>
      <c r="T38" s="66"/>
      <c r="U38" s="66"/>
      <c r="V38" s="66"/>
      <c r="W38" s="66"/>
      <c r="X38" s="66"/>
      <c r="Y38" s="66"/>
      <c r="Z38" s="66"/>
      <c r="AA38" s="66">
        <f>N38*35%</f>
        <v>68752.845000000001</v>
      </c>
      <c r="AB38" s="66"/>
      <c r="AC38" s="66"/>
      <c r="AD38" s="66"/>
      <c r="AE38" s="109">
        <f t="shared" si="15"/>
        <v>324120.55500000005</v>
      </c>
      <c r="AF38" s="109">
        <f t="shared" si="7"/>
        <v>3889.4466600000005</v>
      </c>
    </row>
    <row r="39" spans="1:32" s="105" customFormat="1" ht="13.5" customHeight="1">
      <c r="A39" s="95">
        <v>26</v>
      </c>
      <c r="B39" s="62" t="s">
        <v>81</v>
      </c>
      <c r="C39" s="79" t="s">
        <v>632</v>
      </c>
      <c r="D39" s="97" t="s">
        <v>232</v>
      </c>
      <c r="E39" s="80" t="s">
        <v>50</v>
      </c>
      <c r="F39" s="95">
        <v>1</v>
      </c>
      <c r="G39" s="313" t="s">
        <v>230</v>
      </c>
      <c r="H39" s="314">
        <v>41</v>
      </c>
      <c r="I39" s="96">
        <v>4.75</v>
      </c>
      <c r="J39" s="68">
        <v>17697</v>
      </c>
      <c r="K39" s="96">
        <v>2</v>
      </c>
      <c r="L39" s="68">
        <f t="shared" si="10"/>
        <v>168121.5</v>
      </c>
      <c r="M39" s="68">
        <f t="shared" si="3"/>
        <v>42030.375</v>
      </c>
      <c r="N39" s="68">
        <f t="shared" si="11"/>
        <v>210151.875</v>
      </c>
      <c r="O39" s="68"/>
      <c r="P39" s="68"/>
      <c r="Q39" s="68">
        <f t="shared" si="12"/>
        <v>21015.1875</v>
      </c>
      <c r="R39" s="68">
        <f t="shared" si="13"/>
        <v>42030.375</v>
      </c>
      <c r="S39" s="66"/>
      <c r="T39" s="66"/>
      <c r="U39" s="66"/>
      <c r="V39" s="66"/>
      <c r="W39" s="66"/>
      <c r="X39" s="66"/>
      <c r="Y39" s="66"/>
      <c r="Z39" s="66"/>
      <c r="AA39" s="66"/>
      <c r="AB39" s="66">
        <f>N39*40%</f>
        <v>84060.75</v>
      </c>
      <c r="AC39" s="66"/>
      <c r="AD39" s="66"/>
      <c r="AE39" s="109">
        <f t="shared" si="15"/>
        <v>357258.1875</v>
      </c>
      <c r="AF39" s="109">
        <f t="shared" si="7"/>
        <v>4287.09825</v>
      </c>
    </row>
    <row r="40" spans="1:32" s="105" customFormat="1" ht="13.5" customHeight="1">
      <c r="A40" s="95">
        <v>27</v>
      </c>
      <c r="B40" s="216" t="s">
        <v>151</v>
      </c>
      <c r="C40" s="78" t="s">
        <v>628</v>
      </c>
      <c r="D40" s="97" t="s">
        <v>228</v>
      </c>
      <c r="E40" s="80" t="s">
        <v>50</v>
      </c>
      <c r="F40" s="95">
        <v>0.5</v>
      </c>
      <c r="G40" s="313" t="s">
        <v>226</v>
      </c>
      <c r="H40" s="314">
        <v>7</v>
      </c>
      <c r="I40" s="96">
        <v>3.85</v>
      </c>
      <c r="J40" s="68">
        <v>17697</v>
      </c>
      <c r="K40" s="96">
        <v>2</v>
      </c>
      <c r="L40" s="68">
        <f t="shared" si="10"/>
        <v>68133.45</v>
      </c>
      <c r="M40" s="68">
        <f t="shared" si="3"/>
        <v>17033.362499999999</v>
      </c>
      <c r="N40" s="68">
        <f t="shared" si="11"/>
        <v>85166.8125</v>
      </c>
      <c r="O40" s="68"/>
      <c r="P40" s="68"/>
      <c r="Q40" s="68">
        <f t="shared" si="12"/>
        <v>8516.6812499999996</v>
      </c>
      <c r="R40" s="68">
        <f t="shared" si="13"/>
        <v>17033.362499999999</v>
      </c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109">
        <f t="shared" si="15"/>
        <v>110716.85625</v>
      </c>
      <c r="AF40" s="109">
        <f t="shared" si="7"/>
        <v>1328.602275</v>
      </c>
    </row>
    <row r="41" spans="1:32" s="105" customFormat="1" ht="13.5" customHeight="1">
      <c r="A41" s="95">
        <v>28</v>
      </c>
      <c r="B41" s="216" t="s">
        <v>235</v>
      </c>
      <c r="C41" s="78" t="s">
        <v>628</v>
      </c>
      <c r="D41" s="97" t="s">
        <v>228</v>
      </c>
      <c r="E41" s="80" t="s">
        <v>50</v>
      </c>
      <c r="F41" s="95">
        <v>1</v>
      </c>
      <c r="G41" s="313" t="s">
        <v>226</v>
      </c>
      <c r="H41" s="314">
        <v>1.04</v>
      </c>
      <c r="I41" s="96">
        <v>3.58</v>
      </c>
      <c r="J41" s="68">
        <v>17697</v>
      </c>
      <c r="K41" s="96">
        <v>2</v>
      </c>
      <c r="L41" s="68">
        <f t="shared" si="10"/>
        <v>126710.52</v>
      </c>
      <c r="M41" s="68">
        <f t="shared" si="3"/>
        <v>31677.63</v>
      </c>
      <c r="N41" s="68">
        <f t="shared" si="11"/>
        <v>158388.15</v>
      </c>
      <c r="O41" s="68"/>
      <c r="P41" s="68"/>
      <c r="Q41" s="68">
        <f t="shared" si="12"/>
        <v>15838.815000000001</v>
      </c>
      <c r="R41" s="68">
        <f t="shared" si="13"/>
        <v>31677.63</v>
      </c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109">
        <f t="shared" si="15"/>
        <v>205904.595</v>
      </c>
      <c r="AF41" s="109">
        <f t="shared" si="7"/>
        <v>2470.8551400000001</v>
      </c>
    </row>
    <row r="42" spans="1:32" s="105" customFormat="1" ht="13.5" customHeight="1">
      <c r="A42" s="95">
        <v>29</v>
      </c>
      <c r="B42" s="216" t="s">
        <v>626</v>
      </c>
      <c r="C42" s="78" t="s">
        <v>633</v>
      </c>
      <c r="D42" s="97" t="s">
        <v>232</v>
      </c>
      <c r="E42" s="80" t="s">
        <v>50</v>
      </c>
      <c r="F42" s="95">
        <v>0.75</v>
      </c>
      <c r="G42" s="313" t="s">
        <v>216</v>
      </c>
      <c r="H42" s="314">
        <v>8.09</v>
      </c>
      <c r="I42" s="96">
        <v>3.85</v>
      </c>
      <c r="J42" s="68">
        <v>17697</v>
      </c>
      <c r="K42" s="96">
        <v>2</v>
      </c>
      <c r="L42" s="68">
        <f t="shared" si="10"/>
        <v>102200.175</v>
      </c>
      <c r="M42" s="68">
        <f t="shared" si="3"/>
        <v>25550.043750000001</v>
      </c>
      <c r="N42" s="68">
        <f t="shared" si="11"/>
        <v>127750.21875</v>
      </c>
      <c r="O42" s="68"/>
      <c r="P42" s="68"/>
      <c r="Q42" s="68">
        <f t="shared" si="12"/>
        <v>12775.021875</v>
      </c>
      <c r="R42" s="68">
        <f t="shared" si="13"/>
        <v>25550.043750000001</v>
      </c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109">
        <f t="shared" si="15"/>
        <v>166075.28437500002</v>
      </c>
      <c r="AF42" s="109">
        <f t="shared" si="7"/>
        <v>1992.9034125000001</v>
      </c>
    </row>
    <row r="43" spans="1:32" s="105" customFormat="1" ht="13.5" customHeight="1">
      <c r="A43" s="95">
        <v>30</v>
      </c>
      <c r="B43" s="216" t="s">
        <v>157</v>
      </c>
      <c r="C43" s="79" t="s">
        <v>207</v>
      </c>
      <c r="D43" s="97" t="s">
        <v>422</v>
      </c>
      <c r="E43" s="80" t="s">
        <v>50</v>
      </c>
      <c r="F43" s="95">
        <v>1</v>
      </c>
      <c r="G43" s="313" t="s">
        <v>216</v>
      </c>
      <c r="H43" s="314">
        <v>11.1</v>
      </c>
      <c r="I43" s="96">
        <v>3.94</v>
      </c>
      <c r="J43" s="68">
        <v>17697</v>
      </c>
      <c r="K43" s="96">
        <v>2</v>
      </c>
      <c r="L43" s="68">
        <f t="shared" si="10"/>
        <v>139452.35999999999</v>
      </c>
      <c r="M43" s="68">
        <f t="shared" si="3"/>
        <v>34863.089999999997</v>
      </c>
      <c r="N43" s="68">
        <f t="shared" si="11"/>
        <v>174315.44999999998</v>
      </c>
      <c r="O43" s="68"/>
      <c r="P43" s="68"/>
      <c r="Q43" s="68">
        <f t="shared" si="12"/>
        <v>17431.544999999998</v>
      </c>
      <c r="R43" s="68">
        <f t="shared" si="13"/>
        <v>34863.089999999997</v>
      </c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109">
        <f t="shared" si="15"/>
        <v>226610.08499999999</v>
      </c>
      <c r="AF43" s="109">
        <f t="shared" si="7"/>
        <v>2719.3210199999999</v>
      </c>
    </row>
    <row r="44" spans="1:32" s="105" customFormat="1" ht="13.5" customHeight="1">
      <c r="A44" s="95">
        <v>31</v>
      </c>
      <c r="B44" s="462" t="s">
        <v>237</v>
      </c>
      <c r="C44" s="103" t="s">
        <v>634</v>
      </c>
      <c r="D44" s="97" t="s">
        <v>236</v>
      </c>
      <c r="E44" s="80" t="s">
        <v>50</v>
      </c>
      <c r="F44" s="95">
        <v>1</v>
      </c>
      <c r="G44" s="95" t="s">
        <v>374</v>
      </c>
      <c r="H44" s="95">
        <v>19</v>
      </c>
      <c r="I44" s="95">
        <v>4.37</v>
      </c>
      <c r="J44" s="68">
        <v>17697</v>
      </c>
      <c r="K44" s="96">
        <v>2</v>
      </c>
      <c r="L44" s="68">
        <f t="shared" si="10"/>
        <v>154671.78</v>
      </c>
      <c r="M44" s="68">
        <f t="shared" si="3"/>
        <v>38667.945</v>
      </c>
      <c r="N44" s="68">
        <f t="shared" si="11"/>
        <v>193339.72500000001</v>
      </c>
      <c r="O44" s="68"/>
      <c r="P44" s="68"/>
      <c r="Q44" s="68">
        <f t="shared" si="12"/>
        <v>19333.9725</v>
      </c>
      <c r="R44" s="68">
        <f t="shared" si="13"/>
        <v>38667.945</v>
      </c>
      <c r="S44" s="66"/>
      <c r="T44" s="66"/>
      <c r="U44" s="66"/>
      <c r="V44" s="66"/>
      <c r="W44" s="66"/>
      <c r="X44" s="66"/>
      <c r="Y44" s="66"/>
      <c r="Z44" s="66"/>
      <c r="AA44" s="66">
        <f>N44*35%</f>
        <v>67668.903749999998</v>
      </c>
      <c r="AB44" s="66"/>
      <c r="AC44" s="66"/>
      <c r="AD44" s="66"/>
      <c r="AE44" s="109">
        <f t="shared" si="15"/>
        <v>319010.54625000001</v>
      </c>
      <c r="AF44" s="109">
        <f t="shared" si="7"/>
        <v>3828.1265550000003</v>
      </c>
    </row>
    <row r="45" spans="1:32" s="105" customFormat="1" ht="13.5" customHeight="1">
      <c r="A45" s="95">
        <v>32</v>
      </c>
      <c r="B45" s="462" t="s">
        <v>239</v>
      </c>
      <c r="C45" s="463" t="s">
        <v>818</v>
      </c>
      <c r="D45" s="97" t="s">
        <v>236</v>
      </c>
      <c r="E45" s="80" t="s">
        <v>50</v>
      </c>
      <c r="F45" s="95">
        <v>1</v>
      </c>
      <c r="G45" s="95" t="s">
        <v>238</v>
      </c>
      <c r="H45" s="95">
        <v>16</v>
      </c>
      <c r="I45" s="96">
        <v>4.0599999999999996</v>
      </c>
      <c r="J45" s="68">
        <v>17697</v>
      </c>
      <c r="K45" s="96">
        <v>2</v>
      </c>
      <c r="L45" s="68">
        <f t="shared" si="10"/>
        <v>143699.63999999998</v>
      </c>
      <c r="M45" s="68">
        <f t="shared" si="3"/>
        <v>35924.909999999996</v>
      </c>
      <c r="N45" s="68">
        <f t="shared" si="11"/>
        <v>179624.55</v>
      </c>
      <c r="O45" s="68"/>
      <c r="P45" s="68"/>
      <c r="Q45" s="68">
        <f t="shared" si="12"/>
        <v>17962.454999999998</v>
      </c>
      <c r="R45" s="68">
        <f t="shared" si="13"/>
        <v>35924.909999999996</v>
      </c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109">
        <f t="shared" si="15"/>
        <v>233511.91499999998</v>
      </c>
      <c r="AF45" s="109">
        <f t="shared" si="7"/>
        <v>2802.1429799999996</v>
      </c>
    </row>
    <row r="46" spans="1:32" s="105" customFormat="1" ht="13.5" customHeight="1">
      <c r="A46" s="95">
        <v>33</v>
      </c>
      <c r="B46" s="462" t="s">
        <v>240</v>
      </c>
      <c r="C46" s="463" t="s">
        <v>819</v>
      </c>
      <c r="D46" s="97" t="s">
        <v>236</v>
      </c>
      <c r="E46" s="80" t="s">
        <v>50</v>
      </c>
      <c r="F46" s="95">
        <v>1</v>
      </c>
      <c r="G46" s="95" t="s">
        <v>238</v>
      </c>
      <c r="H46" s="95">
        <v>8.07</v>
      </c>
      <c r="I46" s="95">
        <v>3.85</v>
      </c>
      <c r="J46" s="68">
        <v>17697</v>
      </c>
      <c r="K46" s="96">
        <v>2</v>
      </c>
      <c r="L46" s="68">
        <f t="shared" si="10"/>
        <v>136266.9</v>
      </c>
      <c r="M46" s="68">
        <f t="shared" si="3"/>
        <v>34066.724999999999</v>
      </c>
      <c r="N46" s="68">
        <f t="shared" si="11"/>
        <v>170333.625</v>
      </c>
      <c r="O46" s="68"/>
      <c r="P46" s="68"/>
      <c r="Q46" s="68">
        <f t="shared" si="12"/>
        <v>17033.362499999999</v>
      </c>
      <c r="R46" s="68">
        <f t="shared" si="13"/>
        <v>34066.724999999999</v>
      </c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109">
        <f t="shared" si="15"/>
        <v>221433.71249999999</v>
      </c>
      <c r="AF46" s="109">
        <f t="shared" si="7"/>
        <v>2657.2045499999999</v>
      </c>
    </row>
    <row r="47" spans="1:32" s="105" customFormat="1" ht="13.5" customHeight="1">
      <c r="A47" s="95">
        <v>34</v>
      </c>
      <c r="B47" s="464" t="s">
        <v>241</v>
      </c>
      <c r="C47" s="465" t="s">
        <v>796</v>
      </c>
      <c r="D47" s="97" t="s">
        <v>236</v>
      </c>
      <c r="E47" s="80" t="s">
        <v>50</v>
      </c>
      <c r="F47" s="95">
        <v>1</v>
      </c>
      <c r="G47" s="95" t="s">
        <v>242</v>
      </c>
      <c r="H47" s="95">
        <v>8</v>
      </c>
      <c r="I47" s="95">
        <v>4.1399999999999997</v>
      </c>
      <c r="J47" s="68">
        <v>17697</v>
      </c>
      <c r="K47" s="96">
        <v>2</v>
      </c>
      <c r="L47" s="68">
        <f t="shared" si="10"/>
        <v>146531.15999999997</v>
      </c>
      <c r="M47" s="68">
        <f t="shared" si="3"/>
        <v>36632.789999999994</v>
      </c>
      <c r="N47" s="68">
        <f t="shared" si="11"/>
        <v>183163.94999999995</v>
      </c>
      <c r="O47" s="68"/>
      <c r="P47" s="68"/>
      <c r="Q47" s="68">
        <f t="shared" si="12"/>
        <v>18316.394999999997</v>
      </c>
      <c r="R47" s="68">
        <f t="shared" si="13"/>
        <v>36632.789999999994</v>
      </c>
      <c r="S47" s="66"/>
      <c r="T47" s="66"/>
      <c r="U47" s="66"/>
      <c r="V47" s="66"/>
      <c r="W47" s="66"/>
      <c r="X47" s="66"/>
      <c r="Y47" s="66"/>
      <c r="Z47" s="66">
        <f>N47*30%</f>
        <v>54949.184999999983</v>
      </c>
      <c r="AA47" s="66"/>
      <c r="AB47" s="66"/>
      <c r="AC47" s="66"/>
      <c r="AD47" s="66"/>
      <c r="AE47" s="109">
        <f t="shared" si="15"/>
        <v>293062.31999999995</v>
      </c>
      <c r="AF47" s="109">
        <f t="shared" si="7"/>
        <v>3516.7478399999995</v>
      </c>
    </row>
    <row r="48" spans="1:32" s="105" customFormat="1" ht="13.5" customHeight="1">
      <c r="A48" s="95">
        <v>35</v>
      </c>
      <c r="B48" s="104" t="s">
        <v>107</v>
      </c>
      <c r="C48" s="103"/>
      <c r="D48" s="97" t="s">
        <v>236</v>
      </c>
      <c r="E48" s="80" t="s">
        <v>50</v>
      </c>
      <c r="F48" s="95">
        <v>1</v>
      </c>
      <c r="G48" s="95" t="s">
        <v>238</v>
      </c>
      <c r="H48" s="95">
        <v>5.5</v>
      </c>
      <c r="I48" s="95">
        <v>3.78</v>
      </c>
      <c r="J48" s="68">
        <v>17697</v>
      </c>
      <c r="K48" s="96">
        <v>2</v>
      </c>
      <c r="L48" s="68">
        <f t="shared" si="10"/>
        <v>133789.32</v>
      </c>
      <c r="M48" s="68">
        <f t="shared" si="3"/>
        <v>33447.33</v>
      </c>
      <c r="N48" s="68">
        <f t="shared" si="11"/>
        <v>167236.65000000002</v>
      </c>
      <c r="O48" s="68"/>
      <c r="P48" s="68"/>
      <c r="Q48" s="68">
        <f t="shared" si="12"/>
        <v>16723.665000000005</v>
      </c>
      <c r="R48" s="68">
        <f t="shared" si="13"/>
        <v>33447.330000000009</v>
      </c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109">
        <f t="shared" si="15"/>
        <v>217407.64500000005</v>
      </c>
      <c r="AF48" s="109">
        <f t="shared" si="7"/>
        <v>2608.8917400000005</v>
      </c>
    </row>
    <row r="49" spans="1:32" s="105" customFormat="1">
      <c r="A49" s="362"/>
      <c r="B49" s="548" t="s">
        <v>377</v>
      </c>
      <c r="C49" s="549"/>
      <c r="D49" s="550"/>
      <c r="E49" s="53"/>
      <c r="F49" s="370">
        <f>SUM(F22:F48)</f>
        <v>25.75</v>
      </c>
      <c r="G49" s="371"/>
      <c r="H49" s="371"/>
      <c r="I49" s="371"/>
      <c r="J49" s="371"/>
      <c r="K49" s="371"/>
      <c r="L49" s="371">
        <f t="shared" ref="L49:AF49" si="16">SUM(L22:L48)</f>
        <v>3775389.4949999996</v>
      </c>
      <c r="M49" s="371">
        <f t="shared" si="16"/>
        <v>943847.37374999991</v>
      </c>
      <c r="N49" s="371">
        <f t="shared" si="16"/>
        <v>4719236.8687500004</v>
      </c>
      <c r="O49" s="371"/>
      <c r="P49" s="371"/>
      <c r="Q49" s="371">
        <f t="shared" si="16"/>
        <v>471923.68687499996</v>
      </c>
      <c r="R49" s="371">
        <f t="shared" si="16"/>
        <v>943847.37374999991</v>
      </c>
      <c r="S49" s="371">
        <f t="shared" si="16"/>
        <v>0</v>
      </c>
      <c r="T49" s="371">
        <f t="shared" si="16"/>
        <v>67425.569999999992</v>
      </c>
      <c r="U49" s="371">
        <f t="shared" si="16"/>
        <v>0</v>
      </c>
      <c r="V49" s="371">
        <f t="shared" si="16"/>
        <v>0</v>
      </c>
      <c r="W49" s="371">
        <f t="shared" si="16"/>
        <v>0</v>
      </c>
      <c r="X49" s="371">
        <f t="shared" si="16"/>
        <v>0</v>
      </c>
      <c r="Y49" s="371">
        <f t="shared" si="16"/>
        <v>0</v>
      </c>
      <c r="Z49" s="371">
        <f t="shared" si="16"/>
        <v>177323.93999999994</v>
      </c>
      <c r="AA49" s="371">
        <f t="shared" si="16"/>
        <v>289876.86</v>
      </c>
      <c r="AB49" s="371">
        <f t="shared" si="16"/>
        <v>125560.215</v>
      </c>
      <c r="AC49" s="371">
        <f t="shared" si="16"/>
        <v>0</v>
      </c>
      <c r="AD49" s="371">
        <f t="shared" si="16"/>
        <v>0</v>
      </c>
      <c r="AE49" s="371">
        <f t="shared" si="16"/>
        <v>6795194.5143750003</v>
      </c>
      <c r="AF49" s="371">
        <f t="shared" si="16"/>
        <v>81542.334172499992</v>
      </c>
    </row>
    <row r="50" spans="1:32" s="105" customFormat="1" ht="13.5" customHeight="1">
      <c r="A50" s="95">
        <v>36</v>
      </c>
      <c r="B50" s="461" t="s">
        <v>244</v>
      </c>
      <c r="C50" s="99" t="s">
        <v>820</v>
      </c>
      <c r="D50" s="104" t="s">
        <v>243</v>
      </c>
      <c r="E50" s="100" t="s">
        <v>245</v>
      </c>
      <c r="F50" s="95">
        <v>1</v>
      </c>
      <c r="G50" s="95" t="s">
        <v>246</v>
      </c>
      <c r="H50" s="319" t="s">
        <v>801</v>
      </c>
      <c r="I50" s="98">
        <v>4.75</v>
      </c>
      <c r="J50" s="68">
        <v>17697</v>
      </c>
      <c r="K50" s="96">
        <v>1.45</v>
      </c>
      <c r="L50" s="68">
        <f t="shared" ref="L50:L76" si="17">J50*F50*I50*K50</f>
        <v>121888.08749999999</v>
      </c>
      <c r="M50" s="68">
        <f t="shared" si="3"/>
        <v>30472.021874999999</v>
      </c>
      <c r="N50" s="68">
        <f t="shared" ref="N50:N76" si="18">L50+M50</f>
        <v>152360.109375</v>
      </c>
      <c r="O50" s="68"/>
      <c r="P50" s="68"/>
      <c r="Q50" s="68">
        <f t="shared" ref="Q50:Q76" si="19">N50*10%</f>
        <v>15236.010937500001</v>
      </c>
      <c r="R50" s="68">
        <f t="shared" ref="R50:R76" si="20">N50*20%</f>
        <v>30472.021875000002</v>
      </c>
      <c r="S50" s="66"/>
      <c r="T50" s="66"/>
      <c r="U50" s="66"/>
      <c r="V50" s="66"/>
      <c r="W50" s="66"/>
      <c r="X50" s="66">
        <v>5309</v>
      </c>
      <c r="Y50" s="66"/>
      <c r="Z50" s="66"/>
      <c r="AA50" s="66"/>
      <c r="AB50" s="66"/>
      <c r="AC50" s="66"/>
      <c r="AD50" s="66"/>
      <c r="AE50" s="109">
        <f>SUM(N50:AD50)</f>
        <v>203377.14218749999</v>
      </c>
      <c r="AF50" s="109">
        <f t="shared" si="7"/>
        <v>2440.52570625</v>
      </c>
    </row>
    <row r="51" spans="1:32" s="105" customFormat="1" ht="13.5" customHeight="1">
      <c r="A51" s="95">
        <v>37</v>
      </c>
      <c r="B51" s="101" t="s">
        <v>107</v>
      </c>
      <c r="C51" s="101" t="s">
        <v>821</v>
      </c>
      <c r="D51" s="104" t="s">
        <v>247</v>
      </c>
      <c r="E51" s="100" t="s">
        <v>245</v>
      </c>
      <c r="F51" s="95">
        <v>1</v>
      </c>
      <c r="G51" s="95" t="s">
        <v>248</v>
      </c>
      <c r="H51" s="319" t="s">
        <v>802</v>
      </c>
      <c r="I51" s="98">
        <v>4.43</v>
      </c>
      <c r="J51" s="68">
        <v>17697</v>
      </c>
      <c r="K51" s="96">
        <v>1.45</v>
      </c>
      <c r="L51" s="68">
        <f t="shared" si="17"/>
        <v>113676.67949999998</v>
      </c>
      <c r="M51" s="68">
        <f t="shared" si="3"/>
        <v>28419.169874999996</v>
      </c>
      <c r="N51" s="68">
        <f t="shared" si="18"/>
        <v>142095.84937499999</v>
      </c>
      <c r="O51" s="68"/>
      <c r="P51" s="68"/>
      <c r="Q51" s="68">
        <f t="shared" si="19"/>
        <v>14209.5849375</v>
      </c>
      <c r="R51" s="68">
        <f t="shared" si="20"/>
        <v>28419.169875</v>
      </c>
      <c r="S51" s="66"/>
      <c r="T51" s="66"/>
      <c r="U51" s="66"/>
      <c r="V51" s="66"/>
      <c r="W51" s="66"/>
      <c r="X51" s="66">
        <v>5309</v>
      </c>
      <c r="Y51" s="66"/>
      <c r="Z51" s="66"/>
      <c r="AA51" s="66"/>
      <c r="AB51" s="66"/>
      <c r="AC51" s="66"/>
      <c r="AD51" s="66"/>
      <c r="AE51" s="109">
        <f t="shared" ref="AE51:AE76" si="21">SUM(N51:AD51)</f>
        <v>190033.60418749999</v>
      </c>
      <c r="AF51" s="109">
        <f t="shared" si="7"/>
        <v>2280.4032502499999</v>
      </c>
    </row>
    <row r="52" spans="1:32" s="105" customFormat="1" ht="13.5" customHeight="1">
      <c r="A52" s="95">
        <v>38</v>
      </c>
      <c r="B52" s="466" t="s">
        <v>250</v>
      </c>
      <c r="C52" s="467" t="s">
        <v>822</v>
      </c>
      <c r="D52" s="97" t="s">
        <v>249</v>
      </c>
      <c r="E52" s="100" t="s">
        <v>245</v>
      </c>
      <c r="F52" s="95">
        <v>1</v>
      </c>
      <c r="G52" s="95" t="s">
        <v>238</v>
      </c>
      <c r="H52" s="95">
        <v>10.01</v>
      </c>
      <c r="I52" s="96">
        <v>3.94</v>
      </c>
      <c r="J52" s="68">
        <v>17697</v>
      </c>
      <c r="K52" s="96">
        <v>1.45</v>
      </c>
      <c r="L52" s="68">
        <f t="shared" si="17"/>
        <v>101102.96099999998</v>
      </c>
      <c r="M52" s="68">
        <f t="shared" si="3"/>
        <v>25275.740249999995</v>
      </c>
      <c r="N52" s="68">
        <f t="shared" si="18"/>
        <v>126378.70124999998</v>
      </c>
      <c r="O52" s="68"/>
      <c r="P52" s="68"/>
      <c r="Q52" s="68">
        <f t="shared" si="19"/>
        <v>12637.870124999999</v>
      </c>
      <c r="R52" s="68">
        <f t="shared" si="20"/>
        <v>25275.740249999999</v>
      </c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109">
        <f t="shared" si="21"/>
        <v>164292.31162499997</v>
      </c>
      <c r="AF52" s="109">
        <f t="shared" si="7"/>
        <v>1971.5077394999996</v>
      </c>
    </row>
    <row r="53" spans="1:32" s="105" customFormat="1" ht="13.5" customHeight="1">
      <c r="A53" s="95">
        <v>39</v>
      </c>
      <c r="B53" s="466" t="s">
        <v>107</v>
      </c>
      <c r="C53" s="467" t="s">
        <v>827</v>
      </c>
      <c r="D53" s="97" t="s">
        <v>249</v>
      </c>
      <c r="E53" s="100" t="s">
        <v>245</v>
      </c>
      <c r="F53" s="95">
        <v>1</v>
      </c>
      <c r="G53" s="95" t="s">
        <v>238</v>
      </c>
      <c r="H53" s="319" t="s">
        <v>767</v>
      </c>
      <c r="I53" s="96">
        <v>3.85</v>
      </c>
      <c r="J53" s="68">
        <v>17697</v>
      </c>
      <c r="K53" s="96">
        <v>1.45</v>
      </c>
      <c r="L53" s="68">
        <f t="shared" si="17"/>
        <v>98793.502499999988</v>
      </c>
      <c r="M53" s="68">
        <f t="shared" si="3"/>
        <v>24698.375624999997</v>
      </c>
      <c r="N53" s="68">
        <f t="shared" si="18"/>
        <v>123491.87812499999</v>
      </c>
      <c r="O53" s="68"/>
      <c r="P53" s="68"/>
      <c r="Q53" s="68">
        <f t="shared" si="19"/>
        <v>12349.1878125</v>
      </c>
      <c r="R53" s="68">
        <f t="shared" si="20"/>
        <v>24698.375625000001</v>
      </c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109">
        <f t="shared" si="21"/>
        <v>160539.44156249997</v>
      </c>
      <c r="AF53" s="109">
        <f t="shared" si="7"/>
        <v>1926.4732987499997</v>
      </c>
    </row>
    <row r="54" spans="1:32" s="105" customFormat="1" ht="13.5" customHeight="1">
      <c r="A54" s="95">
        <v>40</v>
      </c>
      <c r="B54" s="466" t="s">
        <v>251</v>
      </c>
      <c r="C54" s="468" t="s">
        <v>824</v>
      </c>
      <c r="D54" s="97" t="s">
        <v>249</v>
      </c>
      <c r="E54" s="100" t="s">
        <v>245</v>
      </c>
      <c r="F54" s="95">
        <v>1</v>
      </c>
      <c r="G54" s="95" t="s">
        <v>238</v>
      </c>
      <c r="H54" s="95">
        <v>15.1</v>
      </c>
      <c r="I54" s="96">
        <v>4</v>
      </c>
      <c r="J54" s="68">
        <v>17697</v>
      </c>
      <c r="K54" s="96">
        <v>1.45</v>
      </c>
      <c r="L54" s="68">
        <f t="shared" si="17"/>
        <v>102642.59999999999</v>
      </c>
      <c r="M54" s="68">
        <f t="shared" si="3"/>
        <v>25660.649999999998</v>
      </c>
      <c r="N54" s="68">
        <f t="shared" si="18"/>
        <v>128303.24999999999</v>
      </c>
      <c r="O54" s="68"/>
      <c r="P54" s="68"/>
      <c r="Q54" s="68">
        <f t="shared" si="19"/>
        <v>12830.324999999999</v>
      </c>
      <c r="R54" s="68">
        <f t="shared" si="20"/>
        <v>25660.649999999998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109">
        <f t="shared" si="21"/>
        <v>166794.22499999998</v>
      </c>
      <c r="AF54" s="109">
        <f t="shared" si="7"/>
        <v>2001.5306999999998</v>
      </c>
    </row>
    <row r="55" spans="1:32" s="105" customFormat="1" ht="13.5" customHeight="1">
      <c r="A55" s="95">
        <v>41</v>
      </c>
      <c r="B55" s="79" t="s">
        <v>107</v>
      </c>
      <c r="C55" s="97" t="s">
        <v>823</v>
      </c>
      <c r="D55" s="97" t="s">
        <v>249</v>
      </c>
      <c r="E55" s="100" t="s">
        <v>245</v>
      </c>
      <c r="F55" s="95">
        <v>1</v>
      </c>
      <c r="G55" s="95" t="s">
        <v>238</v>
      </c>
      <c r="H55" s="319" t="s">
        <v>768</v>
      </c>
      <c r="I55" s="95">
        <v>3.85</v>
      </c>
      <c r="J55" s="68">
        <v>17697</v>
      </c>
      <c r="K55" s="96">
        <v>1.45</v>
      </c>
      <c r="L55" s="68">
        <f t="shared" si="17"/>
        <v>98793.502499999988</v>
      </c>
      <c r="M55" s="68">
        <f t="shared" si="3"/>
        <v>24698.375624999997</v>
      </c>
      <c r="N55" s="68">
        <f t="shared" si="18"/>
        <v>123491.87812499999</v>
      </c>
      <c r="O55" s="68"/>
      <c r="P55" s="68"/>
      <c r="Q55" s="68">
        <f t="shared" si="19"/>
        <v>12349.1878125</v>
      </c>
      <c r="R55" s="68">
        <f t="shared" si="20"/>
        <v>24698.375625000001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109">
        <f t="shared" si="21"/>
        <v>160539.44156249997</v>
      </c>
      <c r="AF55" s="109">
        <f t="shared" si="7"/>
        <v>1926.4732987499997</v>
      </c>
    </row>
    <row r="56" spans="1:32" s="105" customFormat="1" ht="13.5" customHeight="1">
      <c r="A56" s="95">
        <v>42</v>
      </c>
      <c r="B56" s="466" t="s">
        <v>773</v>
      </c>
      <c r="C56" s="97" t="s">
        <v>825</v>
      </c>
      <c r="D56" s="97" t="s">
        <v>249</v>
      </c>
      <c r="E56" s="100" t="s">
        <v>245</v>
      </c>
      <c r="F56" s="95">
        <v>0.5</v>
      </c>
      <c r="G56" s="95" t="s">
        <v>238</v>
      </c>
      <c r="H56" s="95">
        <v>6.05</v>
      </c>
      <c r="I56" s="95">
        <v>3.78</v>
      </c>
      <c r="J56" s="68">
        <v>17697</v>
      </c>
      <c r="K56" s="96">
        <v>1.45</v>
      </c>
      <c r="L56" s="68">
        <f t="shared" si="17"/>
        <v>48498.628499999999</v>
      </c>
      <c r="M56" s="68">
        <f t="shared" si="3"/>
        <v>12124.657125</v>
      </c>
      <c r="N56" s="68">
        <f t="shared" si="18"/>
        <v>60623.285624999997</v>
      </c>
      <c r="O56" s="68"/>
      <c r="P56" s="68"/>
      <c r="Q56" s="68">
        <f t="shared" si="19"/>
        <v>6062.3285624999999</v>
      </c>
      <c r="R56" s="68">
        <f t="shared" si="20"/>
        <v>12124.657125</v>
      </c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109">
        <f t="shared" si="21"/>
        <v>78810.271312500001</v>
      </c>
      <c r="AF56" s="109">
        <f t="shared" si="7"/>
        <v>945.72325575000002</v>
      </c>
    </row>
    <row r="57" spans="1:32" s="105" customFormat="1" ht="13.5" customHeight="1">
      <c r="A57" s="95">
        <v>43</v>
      </c>
      <c r="B57" s="466" t="s">
        <v>253</v>
      </c>
      <c r="C57" s="79" t="s">
        <v>826</v>
      </c>
      <c r="D57" s="97" t="s">
        <v>252</v>
      </c>
      <c r="E57" s="100" t="s">
        <v>245</v>
      </c>
      <c r="F57" s="95">
        <v>1</v>
      </c>
      <c r="G57" s="95" t="s">
        <v>238</v>
      </c>
      <c r="H57" s="95">
        <v>6.09</v>
      </c>
      <c r="I57" s="95">
        <v>3.78</v>
      </c>
      <c r="J57" s="68">
        <v>17697</v>
      </c>
      <c r="K57" s="96">
        <v>1.45</v>
      </c>
      <c r="L57" s="68">
        <f t="shared" si="17"/>
        <v>96997.256999999998</v>
      </c>
      <c r="M57" s="68">
        <f t="shared" si="3"/>
        <v>24249.314249999999</v>
      </c>
      <c r="N57" s="68">
        <f t="shared" si="18"/>
        <v>121246.57124999999</v>
      </c>
      <c r="O57" s="68"/>
      <c r="P57" s="68"/>
      <c r="Q57" s="68">
        <f t="shared" si="19"/>
        <v>12124.657125</v>
      </c>
      <c r="R57" s="68">
        <f t="shared" si="20"/>
        <v>24249.314249999999</v>
      </c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109">
        <f t="shared" si="21"/>
        <v>157620.542625</v>
      </c>
      <c r="AF57" s="109">
        <f t="shared" si="7"/>
        <v>1891.4465115</v>
      </c>
    </row>
    <row r="58" spans="1:32" s="105" customFormat="1" ht="13.5" customHeight="1">
      <c r="A58" s="95">
        <v>44</v>
      </c>
      <c r="B58" s="466" t="s">
        <v>254</v>
      </c>
      <c r="C58" s="79" t="s">
        <v>826</v>
      </c>
      <c r="D58" s="97" t="s">
        <v>252</v>
      </c>
      <c r="E58" s="100" t="s">
        <v>245</v>
      </c>
      <c r="F58" s="95">
        <v>1</v>
      </c>
      <c r="G58" s="95" t="s">
        <v>238</v>
      </c>
      <c r="H58" s="95">
        <v>21.06</v>
      </c>
      <c r="I58" s="95">
        <v>4.12</v>
      </c>
      <c r="J58" s="68">
        <v>17697</v>
      </c>
      <c r="K58" s="96">
        <v>1.45</v>
      </c>
      <c r="L58" s="68">
        <f t="shared" si="17"/>
        <v>105721.878</v>
      </c>
      <c r="M58" s="68">
        <f t="shared" si="3"/>
        <v>26430.469499999999</v>
      </c>
      <c r="N58" s="68">
        <f t="shared" si="18"/>
        <v>132152.3475</v>
      </c>
      <c r="O58" s="68"/>
      <c r="P58" s="68"/>
      <c r="Q58" s="68">
        <f t="shared" si="19"/>
        <v>13215.234750000001</v>
      </c>
      <c r="R58" s="68">
        <f t="shared" si="20"/>
        <v>26430.469500000003</v>
      </c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109">
        <f t="shared" si="21"/>
        <v>171798.05175000001</v>
      </c>
      <c r="AF58" s="109">
        <f t="shared" si="7"/>
        <v>2061.5766210000002</v>
      </c>
    </row>
    <row r="59" spans="1:32" s="105" customFormat="1" ht="13.5" customHeight="1">
      <c r="A59" s="95">
        <v>45</v>
      </c>
      <c r="B59" s="466" t="s">
        <v>255</v>
      </c>
      <c r="C59" s="79" t="s">
        <v>827</v>
      </c>
      <c r="D59" s="97" t="s">
        <v>252</v>
      </c>
      <c r="E59" s="100" t="s">
        <v>245</v>
      </c>
      <c r="F59" s="95">
        <v>1</v>
      </c>
      <c r="G59" s="95" t="s">
        <v>238</v>
      </c>
      <c r="H59" s="95">
        <v>17.100000000000001</v>
      </c>
      <c r="I59" s="95">
        <v>4.0599999999999996</v>
      </c>
      <c r="J59" s="68">
        <v>17697</v>
      </c>
      <c r="K59" s="96">
        <v>1.45</v>
      </c>
      <c r="L59" s="68">
        <f t="shared" si="17"/>
        <v>104182.23899999999</v>
      </c>
      <c r="M59" s="68">
        <f t="shared" si="3"/>
        <v>26045.559749999997</v>
      </c>
      <c r="N59" s="68">
        <f t="shared" si="18"/>
        <v>130227.79874999999</v>
      </c>
      <c r="O59" s="68"/>
      <c r="P59" s="68"/>
      <c r="Q59" s="68">
        <f t="shared" si="19"/>
        <v>13022.779875</v>
      </c>
      <c r="R59" s="68">
        <f t="shared" si="20"/>
        <v>26045.55975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109">
        <f t="shared" si="21"/>
        <v>169296.13837499998</v>
      </c>
      <c r="AF59" s="109">
        <f t="shared" si="7"/>
        <v>2031.5536604999998</v>
      </c>
    </row>
    <row r="60" spans="1:32" s="105" customFormat="1" ht="13.5" customHeight="1">
      <c r="A60" s="95">
        <v>46</v>
      </c>
      <c r="B60" s="466" t="s">
        <v>471</v>
      </c>
      <c r="C60" s="79" t="s">
        <v>828</v>
      </c>
      <c r="D60" s="97" t="s">
        <v>252</v>
      </c>
      <c r="E60" s="100" t="s">
        <v>245</v>
      </c>
      <c r="F60" s="95">
        <v>1</v>
      </c>
      <c r="G60" s="95" t="s">
        <v>238</v>
      </c>
      <c r="H60" s="95">
        <v>14.1</v>
      </c>
      <c r="I60" s="96">
        <v>4</v>
      </c>
      <c r="J60" s="68">
        <v>17697</v>
      </c>
      <c r="K60" s="96">
        <v>1.45</v>
      </c>
      <c r="L60" s="68">
        <f t="shared" si="17"/>
        <v>102642.59999999999</v>
      </c>
      <c r="M60" s="68">
        <f t="shared" si="3"/>
        <v>25660.649999999998</v>
      </c>
      <c r="N60" s="68">
        <f t="shared" si="18"/>
        <v>128303.24999999999</v>
      </c>
      <c r="O60" s="68"/>
      <c r="P60" s="68"/>
      <c r="Q60" s="68">
        <f t="shared" si="19"/>
        <v>12830.324999999999</v>
      </c>
      <c r="R60" s="68">
        <f t="shared" si="20"/>
        <v>25660.649999999998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109">
        <f t="shared" si="21"/>
        <v>166794.22499999998</v>
      </c>
      <c r="AF60" s="109">
        <f t="shared" si="7"/>
        <v>2001.5306999999998</v>
      </c>
    </row>
    <row r="61" spans="1:32" s="105" customFormat="1" ht="13.5" customHeight="1">
      <c r="A61" s="95">
        <v>47</v>
      </c>
      <c r="B61" s="466" t="s">
        <v>256</v>
      </c>
      <c r="C61" s="79" t="s">
        <v>826</v>
      </c>
      <c r="D61" s="97" t="s">
        <v>252</v>
      </c>
      <c r="E61" s="100" t="s">
        <v>245</v>
      </c>
      <c r="F61" s="95">
        <v>1</v>
      </c>
      <c r="G61" s="95" t="s">
        <v>238</v>
      </c>
      <c r="H61" s="319" t="s">
        <v>769</v>
      </c>
      <c r="I61" s="95">
        <v>3.85</v>
      </c>
      <c r="J61" s="68">
        <v>17697</v>
      </c>
      <c r="K61" s="96">
        <v>1.45</v>
      </c>
      <c r="L61" s="68">
        <f t="shared" si="17"/>
        <v>98793.502499999988</v>
      </c>
      <c r="M61" s="68">
        <f t="shared" si="3"/>
        <v>24698.375624999997</v>
      </c>
      <c r="N61" s="68">
        <f t="shared" si="18"/>
        <v>123491.87812499999</v>
      </c>
      <c r="O61" s="68"/>
      <c r="P61" s="68"/>
      <c r="Q61" s="68">
        <f t="shared" si="19"/>
        <v>12349.1878125</v>
      </c>
      <c r="R61" s="68">
        <f t="shared" si="20"/>
        <v>24698.375625000001</v>
      </c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109">
        <f t="shared" si="21"/>
        <v>160539.44156249997</v>
      </c>
      <c r="AF61" s="109">
        <f t="shared" si="7"/>
        <v>1926.4732987499997</v>
      </c>
    </row>
    <row r="62" spans="1:32" s="105" customFormat="1" ht="13.5" customHeight="1">
      <c r="A62" s="95">
        <v>48</v>
      </c>
      <c r="B62" s="466" t="s">
        <v>258</v>
      </c>
      <c r="C62" s="79" t="s">
        <v>829</v>
      </c>
      <c r="D62" s="97" t="s">
        <v>257</v>
      </c>
      <c r="E62" s="100" t="s">
        <v>245</v>
      </c>
      <c r="F62" s="95">
        <v>1</v>
      </c>
      <c r="G62" s="95" t="s">
        <v>238</v>
      </c>
      <c r="H62" s="95">
        <v>15.11</v>
      </c>
      <c r="I62" s="96">
        <v>4</v>
      </c>
      <c r="J62" s="68">
        <v>17697</v>
      </c>
      <c r="K62" s="96">
        <v>1.45</v>
      </c>
      <c r="L62" s="68">
        <f t="shared" si="17"/>
        <v>102642.59999999999</v>
      </c>
      <c r="M62" s="68">
        <f t="shared" si="3"/>
        <v>25660.649999999998</v>
      </c>
      <c r="N62" s="68">
        <f t="shared" si="18"/>
        <v>128303.24999999999</v>
      </c>
      <c r="O62" s="68"/>
      <c r="P62" s="68"/>
      <c r="Q62" s="68">
        <f t="shared" si="19"/>
        <v>12830.324999999999</v>
      </c>
      <c r="R62" s="68">
        <f t="shared" si="20"/>
        <v>25660.649999999998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109">
        <f t="shared" si="21"/>
        <v>166794.22499999998</v>
      </c>
      <c r="AF62" s="109">
        <f t="shared" si="7"/>
        <v>2001.5306999999998</v>
      </c>
    </row>
    <row r="63" spans="1:32" s="105" customFormat="1" ht="13.5" customHeight="1">
      <c r="A63" s="95">
        <v>49</v>
      </c>
      <c r="B63" s="79" t="s">
        <v>178</v>
      </c>
      <c r="C63" s="79"/>
      <c r="D63" s="97" t="s">
        <v>257</v>
      </c>
      <c r="E63" s="100" t="s">
        <v>245</v>
      </c>
      <c r="F63" s="95">
        <v>1</v>
      </c>
      <c r="G63" s="95" t="s">
        <v>238</v>
      </c>
      <c r="H63" s="96">
        <v>0</v>
      </c>
      <c r="I63" s="96">
        <v>3.52</v>
      </c>
      <c r="J63" s="68">
        <v>17697</v>
      </c>
      <c r="K63" s="96">
        <v>1.45</v>
      </c>
      <c r="L63" s="68">
        <f t="shared" si="17"/>
        <v>90325.487999999998</v>
      </c>
      <c r="M63" s="68">
        <f t="shared" si="3"/>
        <v>22581.371999999999</v>
      </c>
      <c r="N63" s="68">
        <f t="shared" si="18"/>
        <v>112906.86</v>
      </c>
      <c r="O63" s="68"/>
      <c r="P63" s="68"/>
      <c r="Q63" s="68">
        <f t="shared" si="19"/>
        <v>11290.686000000002</v>
      </c>
      <c r="R63" s="68">
        <f t="shared" si="20"/>
        <v>22581.372000000003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109">
        <f t="shared" si="21"/>
        <v>146778.91800000001</v>
      </c>
      <c r="AF63" s="109">
        <f t="shared" si="7"/>
        <v>1761.3470160000002</v>
      </c>
    </row>
    <row r="64" spans="1:32" s="105" customFormat="1" ht="13.5" customHeight="1">
      <c r="A64" s="95">
        <v>50</v>
      </c>
      <c r="B64" s="466" t="s">
        <v>259</v>
      </c>
      <c r="C64" s="79" t="s">
        <v>827</v>
      </c>
      <c r="D64" s="97" t="s">
        <v>257</v>
      </c>
      <c r="E64" s="100" t="s">
        <v>245</v>
      </c>
      <c r="F64" s="95">
        <v>1</v>
      </c>
      <c r="G64" s="95" t="s">
        <v>238</v>
      </c>
      <c r="H64" s="95">
        <v>9.0299999999999994</v>
      </c>
      <c r="I64" s="95">
        <v>3.85</v>
      </c>
      <c r="J64" s="68">
        <v>17697</v>
      </c>
      <c r="K64" s="96">
        <v>1.45</v>
      </c>
      <c r="L64" s="68">
        <f t="shared" si="17"/>
        <v>98793.502499999988</v>
      </c>
      <c r="M64" s="68">
        <f t="shared" si="3"/>
        <v>24698.375624999997</v>
      </c>
      <c r="N64" s="68">
        <f t="shared" si="18"/>
        <v>123491.87812499999</v>
      </c>
      <c r="O64" s="68"/>
      <c r="P64" s="68"/>
      <c r="Q64" s="68">
        <f t="shared" si="19"/>
        <v>12349.1878125</v>
      </c>
      <c r="R64" s="68">
        <f t="shared" si="20"/>
        <v>24698.375625000001</v>
      </c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109">
        <f t="shared" si="21"/>
        <v>160539.44156249997</v>
      </c>
      <c r="AF64" s="109">
        <f t="shared" si="7"/>
        <v>1926.4732987499997</v>
      </c>
    </row>
    <row r="65" spans="1:32" s="105" customFormat="1" ht="13.5" customHeight="1">
      <c r="A65" s="95">
        <v>51</v>
      </c>
      <c r="B65" s="469" t="s">
        <v>830</v>
      </c>
      <c r="C65" s="79" t="s">
        <v>831</v>
      </c>
      <c r="D65" s="97" t="s">
        <v>260</v>
      </c>
      <c r="E65" s="100" t="s">
        <v>245</v>
      </c>
      <c r="F65" s="95">
        <v>1</v>
      </c>
      <c r="G65" s="95" t="s">
        <v>238</v>
      </c>
      <c r="H65" s="95">
        <v>13.1</v>
      </c>
      <c r="I65" s="96">
        <v>4</v>
      </c>
      <c r="J65" s="68">
        <v>17697</v>
      </c>
      <c r="K65" s="96">
        <v>1.45</v>
      </c>
      <c r="L65" s="68">
        <f t="shared" si="17"/>
        <v>102642.59999999999</v>
      </c>
      <c r="M65" s="68">
        <f t="shared" si="3"/>
        <v>25660.649999999998</v>
      </c>
      <c r="N65" s="68">
        <f t="shared" si="18"/>
        <v>128303.24999999999</v>
      </c>
      <c r="O65" s="68"/>
      <c r="P65" s="68"/>
      <c r="Q65" s="68">
        <f t="shared" si="19"/>
        <v>12830.324999999999</v>
      </c>
      <c r="R65" s="68">
        <f t="shared" si="20"/>
        <v>25660.649999999998</v>
      </c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109">
        <f t="shared" si="21"/>
        <v>166794.22499999998</v>
      </c>
      <c r="AF65" s="109">
        <f t="shared" si="7"/>
        <v>2001.5306999999998</v>
      </c>
    </row>
    <row r="66" spans="1:32" s="105" customFormat="1" ht="13.5" customHeight="1">
      <c r="A66" s="95">
        <v>52</v>
      </c>
      <c r="B66" s="79" t="s">
        <v>107</v>
      </c>
      <c r="C66" s="79" t="s">
        <v>832</v>
      </c>
      <c r="D66" s="97" t="s">
        <v>260</v>
      </c>
      <c r="E66" s="100" t="s">
        <v>245</v>
      </c>
      <c r="F66" s="95">
        <v>1</v>
      </c>
      <c r="G66" s="95" t="s">
        <v>238</v>
      </c>
      <c r="H66" s="95">
        <v>15.08</v>
      </c>
      <c r="I66" s="96">
        <v>4</v>
      </c>
      <c r="J66" s="68">
        <v>17697</v>
      </c>
      <c r="K66" s="96">
        <v>1.45</v>
      </c>
      <c r="L66" s="68">
        <f t="shared" si="17"/>
        <v>102642.59999999999</v>
      </c>
      <c r="M66" s="68">
        <f t="shared" si="3"/>
        <v>25660.649999999998</v>
      </c>
      <c r="N66" s="68">
        <f t="shared" si="18"/>
        <v>128303.24999999999</v>
      </c>
      <c r="O66" s="68"/>
      <c r="P66" s="68"/>
      <c r="Q66" s="68">
        <f t="shared" si="19"/>
        <v>12830.324999999999</v>
      </c>
      <c r="R66" s="68">
        <f t="shared" si="20"/>
        <v>25660.649999999998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109">
        <f t="shared" si="21"/>
        <v>166794.22499999998</v>
      </c>
      <c r="AF66" s="109">
        <f t="shared" si="7"/>
        <v>2001.5306999999998</v>
      </c>
    </row>
    <row r="67" spans="1:32" s="105" customFormat="1" ht="13.5" customHeight="1">
      <c r="A67" s="95">
        <v>53</v>
      </c>
      <c r="B67" s="466" t="s">
        <v>261</v>
      </c>
      <c r="C67" s="79" t="s">
        <v>831</v>
      </c>
      <c r="D67" s="97" t="s">
        <v>260</v>
      </c>
      <c r="E67" s="100" t="s">
        <v>245</v>
      </c>
      <c r="F67" s="95">
        <v>1</v>
      </c>
      <c r="G67" s="95" t="s">
        <v>238</v>
      </c>
      <c r="H67" s="96">
        <v>9.07</v>
      </c>
      <c r="I67" s="95">
        <v>3.85</v>
      </c>
      <c r="J67" s="68">
        <v>17697</v>
      </c>
      <c r="K67" s="96">
        <v>1.45</v>
      </c>
      <c r="L67" s="68">
        <f t="shared" si="17"/>
        <v>98793.502499999988</v>
      </c>
      <c r="M67" s="68">
        <f t="shared" si="3"/>
        <v>24698.375624999997</v>
      </c>
      <c r="N67" s="68">
        <f t="shared" si="18"/>
        <v>123491.87812499999</v>
      </c>
      <c r="O67" s="68"/>
      <c r="P67" s="68"/>
      <c r="Q67" s="68">
        <f t="shared" si="19"/>
        <v>12349.1878125</v>
      </c>
      <c r="R67" s="68">
        <f t="shared" si="20"/>
        <v>24698.375625000001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109">
        <f t="shared" si="21"/>
        <v>160539.44156249997</v>
      </c>
      <c r="AF67" s="109">
        <f t="shared" si="7"/>
        <v>1926.4732987499997</v>
      </c>
    </row>
    <row r="68" spans="1:32" s="105" customFormat="1" ht="13.5" customHeight="1">
      <c r="A68" s="95">
        <v>54</v>
      </c>
      <c r="B68" s="466" t="s">
        <v>262</v>
      </c>
      <c r="C68" s="79" t="s">
        <v>831</v>
      </c>
      <c r="D68" s="97" t="s">
        <v>260</v>
      </c>
      <c r="E68" s="100" t="s">
        <v>245</v>
      </c>
      <c r="F68" s="95">
        <v>1</v>
      </c>
      <c r="G68" s="95" t="s">
        <v>238</v>
      </c>
      <c r="H68" s="95">
        <v>8.1</v>
      </c>
      <c r="I68" s="95">
        <v>3.85</v>
      </c>
      <c r="J68" s="68">
        <v>17697</v>
      </c>
      <c r="K68" s="96">
        <v>1.45</v>
      </c>
      <c r="L68" s="68">
        <f t="shared" si="17"/>
        <v>98793.502499999988</v>
      </c>
      <c r="M68" s="68">
        <f t="shared" si="3"/>
        <v>24698.375624999997</v>
      </c>
      <c r="N68" s="68">
        <f t="shared" si="18"/>
        <v>123491.87812499999</v>
      </c>
      <c r="O68" s="68"/>
      <c r="P68" s="68"/>
      <c r="Q68" s="68">
        <f t="shared" si="19"/>
        <v>12349.1878125</v>
      </c>
      <c r="R68" s="68">
        <f t="shared" si="20"/>
        <v>24698.375625000001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109">
        <f t="shared" si="21"/>
        <v>160539.44156249997</v>
      </c>
      <c r="AF68" s="109">
        <f t="shared" si="7"/>
        <v>1926.4732987499997</v>
      </c>
    </row>
    <row r="69" spans="1:32" s="105" customFormat="1" ht="13.5" customHeight="1">
      <c r="A69" s="95">
        <v>55</v>
      </c>
      <c r="B69" s="466" t="s">
        <v>263</v>
      </c>
      <c r="C69" s="79" t="s">
        <v>831</v>
      </c>
      <c r="D69" s="97" t="s">
        <v>260</v>
      </c>
      <c r="E69" s="100" t="s">
        <v>245</v>
      </c>
      <c r="F69" s="95">
        <v>1</v>
      </c>
      <c r="G69" s="95" t="s">
        <v>238</v>
      </c>
      <c r="H69" s="95">
        <v>6.09</v>
      </c>
      <c r="I69" s="95">
        <v>3.78</v>
      </c>
      <c r="J69" s="68">
        <v>17697</v>
      </c>
      <c r="K69" s="96">
        <v>1.45</v>
      </c>
      <c r="L69" s="68">
        <f t="shared" si="17"/>
        <v>96997.256999999998</v>
      </c>
      <c r="M69" s="68">
        <f t="shared" si="3"/>
        <v>24249.314249999999</v>
      </c>
      <c r="N69" s="68">
        <f t="shared" si="18"/>
        <v>121246.57124999999</v>
      </c>
      <c r="O69" s="68"/>
      <c r="P69" s="68"/>
      <c r="Q69" s="68">
        <f t="shared" si="19"/>
        <v>12124.657125</v>
      </c>
      <c r="R69" s="68">
        <f t="shared" si="20"/>
        <v>24249.314249999999</v>
      </c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109">
        <f t="shared" si="21"/>
        <v>157620.542625</v>
      </c>
      <c r="AF69" s="109">
        <f t="shared" si="7"/>
        <v>1891.4465115</v>
      </c>
    </row>
    <row r="70" spans="1:32" s="105" customFormat="1" ht="13.5" customHeight="1">
      <c r="A70" s="95">
        <v>56</v>
      </c>
      <c r="B70" s="466" t="s">
        <v>265</v>
      </c>
      <c r="C70" s="79" t="s">
        <v>833</v>
      </c>
      <c r="D70" s="97" t="s">
        <v>264</v>
      </c>
      <c r="E70" s="100" t="s">
        <v>205</v>
      </c>
      <c r="F70" s="95">
        <v>1</v>
      </c>
      <c r="G70" s="95" t="s">
        <v>266</v>
      </c>
      <c r="H70" s="95">
        <v>21.03</v>
      </c>
      <c r="I70" s="95">
        <v>4.45</v>
      </c>
      <c r="J70" s="68">
        <v>17697</v>
      </c>
      <c r="K70" s="96">
        <v>1.95</v>
      </c>
      <c r="L70" s="68">
        <f t="shared" si="17"/>
        <v>153565.71750000003</v>
      </c>
      <c r="M70" s="68">
        <f t="shared" si="3"/>
        <v>38391.429375000007</v>
      </c>
      <c r="N70" s="68">
        <f t="shared" si="18"/>
        <v>191957.14687500003</v>
      </c>
      <c r="O70" s="68"/>
      <c r="P70" s="68"/>
      <c r="Q70" s="68">
        <f t="shared" si="19"/>
        <v>19195.714687500003</v>
      </c>
      <c r="R70" s="68">
        <f t="shared" si="20"/>
        <v>38391.429375000007</v>
      </c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109">
        <f t="shared" si="21"/>
        <v>249544.29093750005</v>
      </c>
      <c r="AF70" s="109">
        <f t="shared" si="7"/>
        <v>2994.5314912500003</v>
      </c>
    </row>
    <row r="71" spans="1:32" s="105" customFormat="1" ht="13.5" customHeight="1">
      <c r="A71" s="95">
        <v>57</v>
      </c>
      <c r="B71" s="462" t="s">
        <v>267</v>
      </c>
      <c r="C71" s="79" t="s">
        <v>833</v>
      </c>
      <c r="D71" s="97" t="s">
        <v>264</v>
      </c>
      <c r="E71" s="100" t="s">
        <v>205</v>
      </c>
      <c r="F71" s="95">
        <v>0.5</v>
      </c>
      <c r="G71" s="95" t="s">
        <v>268</v>
      </c>
      <c r="H71" s="95">
        <v>16.05</v>
      </c>
      <c r="I71" s="95">
        <v>3.65</v>
      </c>
      <c r="J71" s="68">
        <v>17697</v>
      </c>
      <c r="K71" s="96">
        <v>1.95</v>
      </c>
      <c r="L71" s="68">
        <f t="shared" si="17"/>
        <v>62979.198749999996</v>
      </c>
      <c r="M71" s="68">
        <f t="shared" si="3"/>
        <v>15744.799687499999</v>
      </c>
      <c r="N71" s="68">
        <f t="shared" si="18"/>
        <v>78723.998437499991</v>
      </c>
      <c r="O71" s="68"/>
      <c r="P71" s="68"/>
      <c r="Q71" s="68">
        <f t="shared" si="19"/>
        <v>7872.3998437499995</v>
      </c>
      <c r="R71" s="68">
        <f t="shared" si="20"/>
        <v>15744.799687499999</v>
      </c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109">
        <f t="shared" si="21"/>
        <v>102341.19796874998</v>
      </c>
      <c r="AF71" s="109">
        <f t="shared" si="7"/>
        <v>1228.0943756249999</v>
      </c>
    </row>
    <row r="72" spans="1:32" s="105" customFormat="1" ht="13.5" customHeight="1">
      <c r="A72" s="95">
        <v>58</v>
      </c>
      <c r="B72" s="466" t="s">
        <v>269</v>
      </c>
      <c r="C72" s="79" t="s">
        <v>833</v>
      </c>
      <c r="D72" s="97" t="s">
        <v>264</v>
      </c>
      <c r="E72" s="100" t="s">
        <v>205</v>
      </c>
      <c r="F72" s="95">
        <v>0.5</v>
      </c>
      <c r="G72" s="95" t="s">
        <v>268</v>
      </c>
      <c r="H72" s="95">
        <v>13.06</v>
      </c>
      <c r="I72" s="95">
        <v>3.61</v>
      </c>
      <c r="J72" s="68">
        <v>17697</v>
      </c>
      <c r="K72" s="96">
        <v>1.95</v>
      </c>
      <c r="L72" s="68">
        <f t="shared" si="17"/>
        <v>62289.015749999999</v>
      </c>
      <c r="M72" s="68">
        <f t="shared" si="3"/>
        <v>15572.2539375</v>
      </c>
      <c r="N72" s="68">
        <f t="shared" si="18"/>
        <v>77861.269687499997</v>
      </c>
      <c r="O72" s="68"/>
      <c r="P72" s="68"/>
      <c r="Q72" s="68">
        <f t="shared" si="19"/>
        <v>7786.1269687499998</v>
      </c>
      <c r="R72" s="68">
        <f t="shared" si="20"/>
        <v>15572.2539375</v>
      </c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109">
        <f t="shared" si="21"/>
        <v>101219.65059375</v>
      </c>
      <c r="AF72" s="109">
        <f t="shared" si="7"/>
        <v>1214.6358071250002</v>
      </c>
    </row>
    <row r="73" spans="1:32" s="105" customFormat="1" ht="13.5" customHeight="1">
      <c r="A73" s="95">
        <v>59</v>
      </c>
      <c r="B73" s="79" t="s">
        <v>270</v>
      </c>
      <c r="C73" s="79"/>
      <c r="D73" s="97" t="s">
        <v>437</v>
      </c>
      <c r="E73" s="100" t="s">
        <v>245</v>
      </c>
      <c r="F73" s="95">
        <v>1</v>
      </c>
      <c r="G73" s="95" t="s">
        <v>271</v>
      </c>
      <c r="H73" s="95">
        <v>30</v>
      </c>
      <c r="I73" s="98">
        <v>5.31</v>
      </c>
      <c r="J73" s="68">
        <v>17697</v>
      </c>
      <c r="K73" s="96">
        <v>2</v>
      </c>
      <c r="L73" s="68">
        <f t="shared" si="17"/>
        <v>187942.13999999998</v>
      </c>
      <c r="M73" s="68">
        <f t="shared" si="3"/>
        <v>46985.534999999996</v>
      </c>
      <c r="N73" s="68">
        <f t="shared" si="18"/>
        <v>234927.67499999999</v>
      </c>
      <c r="O73" s="68"/>
      <c r="P73" s="68"/>
      <c r="Q73" s="68">
        <f t="shared" si="19"/>
        <v>23492.767500000002</v>
      </c>
      <c r="R73" s="68">
        <f t="shared" si="20"/>
        <v>46985.535000000003</v>
      </c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109">
        <f t="shared" si="21"/>
        <v>305405.97750000004</v>
      </c>
      <c r="AF73" s="109">
        <f t="shared" si="7"/>
        <v>3664.8717300000003</v>
      </c>
    </row>
    <row r="74" spans="1:32" s="105" customFormat="1" ht="13.5" customHeight="1">
      <c r="A74" s="95">
        <v>60</v>
      </c>
      <c r="B74" s="466" t="s">
        <v>273</v>
      </c>
      <c r="C74" s="79" t="s">
        <v>831</v>
      </c>
      <c r="D74" s="97" t="s">
        <v>272</v>
      </c>
      <c r="E74" s="100" t="s">
        <v>245</v>
      </c>
      <c r="F74" s="95">
        <v>1</v>
      </c>
      <c r="G74" s="95" t="s">
        <v>274</v>
      </c>
      <c r="H74" s="95">
        <v>19.11</v>
      </c>
      <c r="I74" s="98">
        <v>4.6100000000000003</v>
      </c>
      <c r="J74" s="68">
        <v>17697</v>
      </c>
      <c r="K74" s="96">
        <v>1.45</v>
      </c>
      <c r="L74" s="68">
        <f t="shared" si="17"/>
        <v>118295.59650000001</v>
      </c>
      <c r="M74" s="68"/>
      <c r="N74" s="68">
        <f t="shared" si="18"/>
        <v>118295.59650000001</v>
      </c>
      <c r="O74" s="68"/>
      <c r="P74" s="68"/>
      <c r="Q74" s="68">
        <f t="shared" si="19"/>
        <v>11829.559650000003</v>
      </c>
      <c r="R74" s="68">
        <f t="shared" si="20"/>
        <v>23659.119300000006</v>
      </c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109">
        <f t="shared" si="21"/>
        <v>153784.27545000002</v>
      </c>
      <c r="AF74" s="109">
        <f t="shared" si="7"/>
        <v>1845.4113054000002</v>
      </c>
    </row>
    <row r="75" spans="1:32" s="105" customFormat="1" ht="13.5" customHeight="1">
      <c r="A75" s="95">
        <v>61</v>
      </c>
      <c r="B75" s="79" t="s">
        <v>275</v>
      </c>
      <c r="C75" s="79" t="s">
        <v>834</v>
      </c>
      <c r="D75" s="97" t="s">
        <v>438</v>
      </c>
      <c r="E75" s="100" t="s">
        <v>205</v>
      </c>
      <c r="F75" s="95">
        <v>1</v>
      </c>
      <c r="G75" s="95" t="s">
        <v>276</v>
      </c>
      <c r="H75" s="95">
        <v>33.03</v>
      </c>
      <c r="I75" s="98">
        <v>3.68</v>
      </c>
      <c r="J75" s="68">
        <v>17697</v>
      </c>
      <c r="K75" s="96">
        <v>1.45</v>
      </c>
      <c r="L75" s="68">
        <f t="shared" si="17"/>
        <v>94431.19200000001</v>
      </c>
      <c r="M75" s="68"/>
      <c r="N75" s="68">
        <f t="shared" si="18"/>
        <v>94431.19200000001</v>
      </c>
      <c r="O75" s="68"/>
      <c r="P75" s="68"/>
      <c r="Q75" s="68">
        <f t="shared" si="19"/>
        <v>9443.119200000001</v>
      </c>
      <c r="R75" s="68">
        <f t="shared" si="20"/>
        <v>18886.238400000002</v>
      </c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109">
        <f t="shared" si="21"/>
        <v>122760.54960000001</v>
      </c>
      <c r="AF75" s="109">
        <f t="shared" si="7"/>
        <v>1473.1265952000001</v>
      </c>
    </row>
    <row r="76" spans="1:32" s="105" customFormat="1" ht="13.5" customHeight="1">
      <c r="A76" s="95">
        <v>62</v>
      </c>
      <c r="B76" s="79" t="s">
        <v>462</v>
      </c>
      <c r="C76" s="79" t="s">
        <v>835</v>
      </c>
      <c r="D76" s="97" t="s">
        <v>277</v>
      </c>
      <c r="E76" s="100" t="s">
        <v>245</v>
      </c>
      <c r="F76" s="95">
        <v>1</v>
      </c>
      <c r="G76" s="95" t="s">
        <v>276</v>
      </c>
      <c r="H76" s="95">
        <v>1</v>
      </c>
      <c r="I76" s="98">
        <v>3.35</v>
      </c>
      <c r="J76" s="68">
        <v>17697</v>
      </c>
      <c r="K76" s="96">
        <v>1.45</v>
      </c>
      <c r="L76" s="68">
        <f t="shared" si="17"/>
        <v>85963.177500000005</v>
      </c>
      <c r="M76" s="68"/>
      <c r="N76" s="68">
        <f t="shared" si="18"/>
        <v>85963.177500000005</v>
      </c>
      <c r="O76" s="68"/>
      <c r="P76" s="68"/>
      <c r="Q76" s="68">
        <f t="shared" si="19"/>
        <v>8596.3177500000002</v>
      </c>
      <c r="R76" s="68">
        <f t="shared" si="20"/>
        <v>17192.6355</v>
      </c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109">
        <f t="shared" si="21"/>
        <v>111752.13075000001</v>
      </c>
      <c r="AF76" s="109">
        <f t="shared" si="7"/>
        <v>1341.0255690000001</v>
      </c>
    </row>
    <row r="77" spans="1:32" s="105" customFormat="1" ht="12.75" customHeight="1">
      <c r="A77" s="372"/>
      <c r="B77" s="551" t="s">
        <v>378</v>
      </c>
      <c r="C77" s="552"/>
      <c r="D77" s="553"/>
      <c r="E77" s="106"/>
      <c r="F77" s="373">
        <f t="shared" ref="F77:AF77" si="22">SUM(F50:F76)</f>
        <v>25.5</v>
      </c>
      <c r="G77" s="75"/>
      <c r="H77" s="75"/>
      <c r="I77" s="75"/>
      <c r="J77" s="75"/>
      <c r="K77" s="75"/>
      <c r="L77" s="75">
        <f t="shared" si="22"/>
        <v>2750830.5284999995</v>
      </c>
      <c r="M77" s="75">
        <f t="shared" si="22"/>
        <v>613035.14062499988</v>
      </c>
      <c r="N77" s="75">
        <f t="shared" si="22"/>
        <v>3363865.6691249995</v>
      </c>
      <c r="O77" s="75"/>
      <c r="P77" s="75"/>
      <c r="Q77" s="75">
        <f t="shared" si="22"/>
        <v>336386.56691250001</v>
      </c>
      <c r="R77" s="75">
        <f t="shared" si="22"/>
        <v>672773.13382500003</v>
      </c>
      <c r="S77" s="75">
        <f t="shared" si="22"/>
        <v>0</v>
      </c>
      <c r="T77" s="75">
        <f t="shared" si="22"/>
        <v>0</v>
      </c>
      <c r="U77" s="75">
        <f t="shared" si="22"/>
        <v>0</v>
      </c>
      <c r="V77" s="75">
        <f t="shared" si="22"/>
        <v>0</v>
      </c>
      <c r="W77" s="75">
        <f t="shared" si="22"/>
        <v>0</v>
      </c>
      <c r="X77" s="75">
        <f t="shared" si="22"/>
        <v>10618</v>
      </c>
      <c r="Y77" s="75">
        <f t="shared" si="22"/>
        <v>0</v>
      </c>
      <c r="Z77" s="75">
        <f t="shared" si="22"/>
        <v>0</v>
      </c>
      <c r="AA77" s="75">
        <f t="shared" si="22"/>
        <v>0</v>
      </c>
      <c r="AB77" s="75">
        <f t="shared" si="22"/>
        <v>0</v>
      </c>
      <c r="AC77" s="75">
        <f t="shared" si="22"/>
        <v>0</v>
      </c>
      <c r="AD77" s="75">
        <f t="shared" si="22"/>
        <v>0</v>
      </c>
      <c r="AE77" s="75">
        <f t="shared" si="22"/>
        <v>4383643.3698624987</v>
      </c>
      <c r="AF77" s="75">
        <f t="shared" si="22"/>
        <v>52603.720438349999</v>
      </c>
    </row>
    <row r="78" spans="1:32" s="105" customFormat="1" ht="13.5" customHeight="1">
      <c r="A78" s="95">
        <v>63</v>
      </c>
      <c r="B78" s="79" t="s">
        <v>178</v>
      </c>
      <c r="C78" s="79"/>
      <c r="D78" s="107" t="s">
        <v>278</v>
      </c>
      <c r="E78" s="64" t="s">
        <v>245</v>
      </c>
      <c r="F78" s="108">
        <v>1</v>
      </c>
      <c r="G78" s="95" t="s">
        <v>280</v>
      </c>
      <c r="H78" s="95" t="s">
        <v>470</v>
      </c>
      <c r="I78" s="95">
        <v>3.25</v>
      </c>
      <c r="J78" s="68">
        <v>17697</v>
      </c>
      <c r="K78" s="96">
        <v>1.45</v>
      </c>
      <c r="L78" s="68">
        <f t="shared" ref="L78:L82" si="23">J78*F78*I78*K78</f>
        <v>83397.112500000003</v>
      </c>
      <c r="M78" s="68"/>
      <c r="N78" s="68">
        <f t="shared" ref="N78:N82" si="24">L78+M78</f>
        <v>83397.112500000003</v>
      </c>
      <c r="O78" s="68"/>
      <c r="P78" s="68"/>
      <c r="Q78" s="68">
        <f>N78*10%</f>
        <v>8339.7112500000003</v>
      </c>
      <c r="R78" s="68">
        <f t="shared" ref="R78:R82" si="25">N78*20%</f>
        <v>16679.422500000001</v>
      </c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109">
        <f t="shared" ref="AE78:AE82" si="26">SUM(N78:AD78)</f>
        <v>108416.24625000001</v>
      </c>
      <c r="AF78" s="109">
        <f t="shared" ref="AF78:AF137" si="27">(AE78*12)/1000</f>
        <v>1300.9949550000001</v>
      </c>
    </row>
    <row r="79" spans="1:32" s="105" customFormat="1" ht="13.5" customHeight="1">
      <c r="A79" s="95">
        <v>64</v>
      </c>
      <c r="B79" s="466" t="s">
        <v>279</v>
      </c>
      <c r="C79" s="79" t="s">
        <v>53</v>
      </c>
      <c r="D79" s="107" t="s">
        <v>281</v>
      </c>
      <c r="E79" s="64" t="s">
        <v>245</v>
      </c>
      <c r="F79" s="108">
        <v>1</v>
      </c>
      <c r="G79" s="95" t="s">
        <v>280</v>
      </c>
      <c r="H79" s="96">
        <v>2</v>
      </c>
      <c r="I79" s="95">
        <v>3.01</v>
      </c>
      <c r="J79" s="68">
        <v>17697</v>
      </c>
      <c r="K79" s="96">
        <v>1.45</v>
      </c>
      <c r="L79" s="68">
        <f t="shared" si="23"/>
        <v>77238.556499999992</v>
      </c>
      <c r="M79" s="68"/>
      <c r="N79" s="68">
        <f t="shared" si="24"/>
        <v>77238.556499999992</v>
      </c>
      <c r="O79" s="68"/>
      <c r="P79" s="68"/>
      <c r="Q79" s="68">
        <f>N79*10%</f>
        <v>7723.8556499999995</v>
      </c>
      <c r="R79" s="68">
        <f t="shared" si="25"/>
        <v>15447.711299999999</v>
      </c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109">
        <f t="shared" si="26"/>
        <v>100410.12344999998</v>
      </c>
      <c r="AF79" s="109">
        <f t="shared" si="27"/>
        <v>1204.9214813999999</v>
      </c>
    </row>
    <row r="80" spans="1:32" s="105" customFormat="1" ht="13.5" customHeight="1">
      <c r="A80" s="95">
        <v>65</v>
      </c>
      <c r="B80" s="101" t="s">
        <v>267</v>
      </c>
      <c r="C80" s="101"/>
      <c r="D80" s="184" t="s">
        <v>804</v>
      </c>
      <c r="E80" s="64" t="s">
        <v>245</v>
      </c>
      <c r="F80" s="108">
        <v>0.5</v>
      </c>
      <c r="G80" s="95" t="s">
        <v>280</v>
      </c>
      <c r="H80" s="95">
        <v>15.09</v>
      </c>
      <c r="I80" s="98">
        <v>3.19</v>
      </c>
      <c r="J80" s="68">
        <v>17697</v>
      </c>
      <c r="K80" s="96">
        <v>1.45</v>
      </c>
      <c r="L80" s="68">
        <f t="shared" si="23"/>
        <v>40928.736749999996</v>
      </c>
      <c r="M80" s="68"/>
      <c r="N80" s="68">
        <f t="shared" si="24"/>
        <v>40928.736749999996</v>
      </c>
      <c r="O80" s="68"/>
      <c r="P80" s="68"/>
      <c r="Q80" s="68">
        <f t="shared" ref="Q80:Q137" si="28">N80*10%</f>
        <v>4092.8736749999998</v>
      </c>
      <c r="R80" s="68">
        <f t="shared" si="25"/>
        <v>8185.7473499999996</v>
      </c>
      <c r="S80" s="66">
        <f>J80*20%*F80</f>
        <v>1769.7</v>
      </c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109">
        <f t="shared" si="26"/>
        <v>54977.057774999994</v>
      </c>
      <c r="AF80" s="109">
        <f t="shared" si="27"/>
        <v>659.7246932999999</v>
      </c>
    </row>
    <row r="81" spans="1:32" s="105" customFormat="1" ht="13.5" customHeight="1">
      <c r="A81" s="95">
        <v>66</v>
      </c>
      <c r="B81" s="101" t="s">
        <v>283</v>
      </c>
      <c r="C81" s="101"/>
      <c r="D81" s="107" t="s">
        <v>282</v>
      </c>
      <c r="E81" s="64" t="s">
        <v>245</v>
      </c>
      <c r="F81" s="108">
        <v>1</v>
      </c>
      <c r="G81" s="95" t="s">
        <v>280</v>
      </c>
      <c r="H81" s="95">
        <v>18.600000000000001</v>
      </c>
      <c r="I81" s="98">
        <v>3.22</v>
      </c>
      <c r="J81" s="68">
        <v>17697</v>
      </c>
      <c r="K81" s="96">
        <v>1.45</v>
      </c>
      <c r="L81" s="68">
        <f t="shared" si="23"/>
        <v>82627.293000000005</v>
      </c>
      <c r="M81" s="68"/>
      <c r="N81" s="68">
        <f t="shared" si="24"/>
        <v>82627.293000000005</v>
      </c>
      <c r="O81" s="68"/>
      <c r="P81" s="68"/>
      <c r="Q81" s="68">
        <f t="shared" si="28"/>
        <v>8262.7293000000009</v>
      </c>
      <c r="R81" s="68">
        <f t="shared" si="25"/>
        <v>16525.458600000002</v>
      </c>
      <c r="S81" s="66">
        <f>J81*20%*F81</f>
        <v>3539.4</v>
      </c>
      <c r="T81" s="66"/>
      <c r="U81" s="66"/>
      <c r="V81" s="66">
        <v>11844.15</v>
      </c>
      <c r="W81" s="66">
        <v>12113.1</v>
      </c>
      <c r="X81" s="66"/>
      <c r="Y81" s="66"/>
      <c r="Z81" s="66"/>
      <c r="AA81" s="66"/>
      <c r="AB81" s="66"/>
      <c r="AC81" s="66"/>
      <c r="AD81" s="66"/>
      <c r="AE81" s="109">
        <f t="shared" si="26"/>
        <v>134912.13089999999</v>
      </c>
      <c r="AF81" s="109">
        <f t="shared" si="27"/>
        <v>1618.9455707999998</v>
      </c>
    </row>
    <row r="82" spans="1:32" s="105" customFormat="1" ht="13.5" customHeight="1">
      <c r="A82" s="95">
        <v>67</v>
      </c>
      <c r="B82" s="101" t="s">
        <v>284</v>
      </c>
      <c r="C82" s="101"/>
      <c r="D82" s="107" t="s">
        <v>282</v>
      </c>
      <c r="E82" s="64" t="s">
        <v>245</v>
      </c>
      <c r="F82" s="108">
        <v>1</v>
      </c>
      <c r="G82" s="95" t="s">
        <v>280</v>
      </c>
      <c r="H82" s="95">
        <v>16.09</v>
      </c>
      <c r="I82" s="98">
        <v>3.22</v>
      </c>
      <c r="J82" s="68">
        <v>17697</v>
      </c>
      <c r="K82" s="96">
        <v>1.45</v>
      </c>
      <c r="L82" s="68">
        <f t="shared" si="23"/>
        <v>82627.293000000005</v>
      </c>
      <c r="M82" s="68"/>
      <c r="N82" s="68">
        <f t="shared" si="24"/>
        <v>82627.293000000005</v>
      </c>
      <c r="O82" s="68"/>
      <c r="P82" s="68"/>
      <c r="Q82" s="68">
        <f t="shared" si="28"/>
        <v>8262.7293000000009</v>
      </c>
      <c r="R82" s="68">
        <f t="shared" si="25"/>
        <v>16525.458600000002</v>
      </c>
      <c r="S82" s="66">
        <f>J82*20%*F82</f>
        <v>3539.4</v>
      </c>
      <c r="T82" s="66"/>
      <c r="U82" s="66"/>
      <c r="V82" s="66">
        <v>11709.44</v>
      </c>
      <c r="W82" s="66">
        <v>11975.23</v>
      </c>
      <c r="X82" s="66"/>
      <c r="Y82" s="66"/>
      <c r="Z82" s="66"/>
      <c r="AA82" s="66"/>
      <c r="AB82" s="66"/>
      <c r="AC82" s="66"/>
      <c r="AD82" s="66"/>
      <c r="AE82" s="109">
        <f t="shared" si="26"/>
        <v>134639.5509</v>
      </c>
      <c r="AF82" s="109">
        <f t="shared" si="27"/>
        <v>1615.6746108</v>
      </c>
    </row>
    <row r="83" spans="1:32" s="105" customFormat="1">
      <c r="A83" s="364"/>
      <c r="B83" s="554" t="s">
        <v>379</v>
      </c>
      <c r="C83" s="555"/>
      <c r="D83" s="556"/>
      <c r="E83" s="75"/>
      <c r="F83" s="373">
        <f t="shared" ref="F83:AF83" si="29">SUM(F78:F82)</f>
        <v>4.5</v>
      </c>
      <c r="G83" s="75"/>
      <c r="H83" s="75"/>
      <c r="I83" s="75"/>
      <c r="J83" s="75"/>
      <c r="K83" s="75"/>
      <c r="L83" s="75">
        <f t="shared" si="29"/>
        <v>366818.99174999999</v>
      </c>
      <c r="M83" s="75">
        <f t="shared" si="29"/>
        <v>0</v>
      </c>
      <c r="N83" s="75">
        <f t="shared" si="29"/>
        <v>366818.99174999999</v>
      </c>
      <c r="O83" s="75"/>
      <c r="P83" s="75"/>
      <c r="Q83" s="75">
        <f t="shared" si="29"/>
        <v>36681.899174999999</v>
      </c>
      <c r="R83" s="75">
        <f t="shared" si="29"/>
        <v>73363.798349999997</v>
      </c>
      <c r="S83" s="75">
        <f t="shared" si="29"/>
        <v>8848.5</v>
      </c>
      <c r="T83" s="75">
        <f t="shared" si="29"/>
        <v>0</v>
      </c>
      <c r="U83" s="75">
        <f t="shared" si="29"/>
        <v>0</v>
      </c>
      <c r="V83" s="75">
        <f t="shared" si="29"/>
        <v>23553.59</v>
      </c>
      <c r="W83" s="75">
        <f t="shared" si="29"/>
        <v>24088.33</v>
      </c>
      <c r="X83" s="75">
        <f t="shared" si="29"/>
        <v>0</v>
      </c>
      <c r="Y83" s="75">
        <f t="shared" si="29"/>
        <v>0</v>
      </c>
      <c r="Z83" s="75">
        <f t="shared" si="29"/>
        <v>0</v>
      </c>
      <c r="AA83" s="75">
        <f t="shared" si="29"/>
        <v>0</v>
      </c>
      <c r="AB83" s="75">
        <f t="shared" si="29"/>
        <v>0</v>
      </c>
      <c r="AC83" s="75">
        <f t="shared" si="29"/>
        <v>0</v>
      </c>
      <c r="AD83" s="75">
        <f t="shared" si="29"/>
        <v>0</v>
      </c>
      <c r="AE83" s="75">
        <f t="shared" si="29"/>
        <v>533355.10927499994</v>
      </c>
      <c r="AF83" s="75">
        <f t="shared" si="29"/>
        <v>6400.2613112999989</v>
      </c>
    </row>
    <row r="84" spans="1:32" s="105" customFormat="1" ht="12.75" customHeight="1">
      <c r="A84" s="95">
        <v>68</v>
      </c>
      <c r="B84" s="101" t="s">
        <v>297</v>
      </c>
      <c r="C84" s="101"/>
      <c r="D84" s="104" t="s">
        <v>296</v>
      </c>
      <c r="E84" s="64" t="s">
        <v>286</v>
      </c>
      <c r="F84" s="110">
        <v>1</v>
      </c>
      <c r="G84" s="95">
        <v>1</v>
      </c>
      <c r="H84" s="96">
        <v>21.08</v>
      </c>
      <c r="I84" s="95">
        <v>2.77</v>
      </c>
      <c r="J84" s="68">
        <v>17697</v>
      </c>
      <c r="K84" s="96">
        <v>1.45</v>
      </c>
      <c r="L84" s="68">
        <f t="shared" ref="L84:L137" si="30">J84*F84*I84*K84</f>
        <v>71080.000499999995</v>
      </c>
      <c r="M84" s="68"/>
      <c r="N84" s="68">
        <f t="shared" ref="N84:N137" si="31">L84+M84</f>
        <v>71080.000499999995</v>
      </c>
      <c r="O84" s="68"/>
      <c r="P84" s="68"/>
      <c r="Q84" s="68">
        <f t="shared" si="28"/>
        <v>7108.0000499999996</v>
      </c>
      <c r="R84" s="68">
        <f t="shared" ref="R84:R137" si="32">N84*20%</f>
        <v>14216.000099999999</v>
      </c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109">
        <f t="shared" ref="AE84:AE137" si="33">SUM(N84:AD84)</f>
        <v>92404.000650000002</v>
      </c>
      <c r="AF84" s="109">
        <f t="shared" si="27"/>
        <v>1108.8480078</v>
      </c>
    </row>
    <row r="85" spans="1:32" s="105" customFormat="1" ht="12.75" customHeight="1">
      <c r="A85" s="95">
        <v>68</v>
      </c>
      <c r="B85" s="79" t="s">
        <v>298</v>
      </c>
      <c r="C85" s="79"/>
      <c r="D85" s="104" t="s">
        <v>296</v>
      </c>
      <c r="E85" s="64" t="s">
        <v>286</v>
      </c>
      <c r="F85" s="110">
        <v>1</v>
      </c>
      <c r="G85" s="95">
        <v>1</v>
      </c>
      <c r="H85" s="95">
        <v>23.02</v>
      </c>
      <c r="I85" s="95">
        <v>2.77</v>
      </c>
      <c r="J85" s="68">
        <v>17697</v>
      </c>
      <c r="K85" s="96">
        <v>1.45</v>
      </c>
      <c r="L85" s="68">
        <f t="shared" si="30"/>
        <v>71080.000499999995</v>
      </c>
      <c r="M85" s="68"/>
      <c r="N85" s="68">
        <f t="shared" si="31"/>
        <v>71080.000499999995</v>
      </c>
      <c r="O85" s="68"/>
      <c r="P85" s="68"/>
      <c r="Q85" s="68">
        <f t="shared" si="28"/>
        <v>7108.0000499999996</v>
      </c>
      <c r="R85" s="68">
        <f t="shared" si="32"/>
        <v>14216.000099999999</v>
      </c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109">
        <f t="shared" si="33"/>
        <v>92404.000650000002</v>
      </c>
      <c r="AF85" s="109">
        <f t="shared" si="27"/>
        <v>1108.8480078</v>
      </c>
    </row>
    <row r="86" spans="1:32" s="105" customFormat="1" ht="12.75" customHeight="1">
      <c r="A86" s="95">
        <v>68</v>
      </c>
      <c r="B86" s="79" t="s">
        <v>299</v>
      </c>
      <c r="C86" s="79"/>
      <c r="D86" s="104" t="s">
        <v>296</v>
      </c>
      <c r="E86" s="64" t="s">
        <v>286</v>
      </c>
      <c r="F86" s="110">
        <v>1</v>
      </c>
      <c r="G86" s="95">
        <v>1</v>
      </c>
      <c r="H86" s="95">
        <v>10.09</v>
      </c>
      <c r="I86" s="95">
        <v>2.77</v>
      </c>
      <c r="J86" s="68">
        <v>17697</v>
      </c>
      <c r="K86" s="96">
        <v>1.45</v>
      </c>
      <c r="L86" s="68">
        <f t="shared" si="30"/>
        <v>71080.000499999995</v>
      </c>
      <c r="M86" s="68"/>
      <c r="N86" s="68">
        <f t="shared" si="31"/>
        <v>71080.000499999995</v>
      </c>
      <c r="O86" s="68"/>
      <c r="P86" s="68"/>
      <c r="Q86" s="68">
        <f t="shared" si="28"/>
        <v>7108.0000499999996</v>
      </c>
      <c r="R86" s="68">
        <f t="shared" si="32"/>
        <v>14216.000099999999</v>
      </c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109">
        <f t="shared" si="33"/>
        <v>92404.000650000002</v>
      </c>
      <c r="AF86" s="109">
        <f t="shared" si="27"/>
        <v>1108.8480078</v>
      </c>
    </row>
    <row r="87" spans="1:32" ht="12.75" customHeight="1">
      <c r="A87" s="95">
        <v>68</v>
      </c>
      <c r="B87" s="79" t="s">
        <v>300</v>
      </c>
      <c r="C87" s="79"/>
      <c r="D87" s="104" t="s">
        <v>296</v>
      </c>
      <c r="E87" s="64" t="s">
        <v>286</v>
      </c>
      <c r="F87" s="110">
        <v>1</v>
      </c>
      <c r="G87" s="95">
        <v>1</v>
      </c>
      <c r="H87" s="95">
        <v>28.05</v>
      </c>
      <c r="I87" s="95">
        <v>2.77</v>
      </c>
      <c r="J87" s="68">
        <v>17697</v>
      </c>
      <c r="K87" s="96">
        <v>1.45</v>
      </c>
      <c r="L87" s="68">
        <f t="shared" si="30"/>
        <v>71080.000499999995</v>
      </c>
      <c r="M87" s="68"/>
      <c r="N87" s="68">
        <f t="shared" si="31"/>
        <v>71080.000499999995</v>
      </c>
      <c r="O87" s="68"/>
      <c r="P87" s="68"/>
      <c r="Q87" s="68">
        <f t="shared" si="28"/>
        <v>7108.0000499999996</v>
      </c>
      <c r="R87" s="68">
        <f t="shared" si="32"/>
        <v>14216.000099999999</v>
      </c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109">
        <f t="shared" si="33"/>
        <v>92404.000650000002</v>
      </c>
      <c r="AF87" s="109">
        <f t="shared" si="27"/>
        <v>1108.8480078</v>
      </c>
    </row>
    <row r="88" spans="1:32" ht="12.75" customHeight="1">
      <c r="A88" s="95">
        <v>68</v>
      </c>
      <c r="B88" s="224" t="s">
        <v>107</v>
      </c>
      <c r="C88" s="79"/>
      <c r="D88" s="104" t="s">
        <v>417</v>
      </c>
      <c r="E88" s="64" t="s">
        <v>286</v>
      </c>
      <c r="F88" s="110">
        <v>1</v>
      </c>
      <c r="G88" s="95">
        <v>1</v>
      </c>
      <c r="H88" s="95">
        <v>16.05</v>
      </c>
      <c r="I88" s="95">
        <v>2.77</v>
      </c>
      <c r="J88" s="68">
        <v>17697</v>
      </c>
      <c r="K88" s="96">
        <v>1.45</v>
      </c>
      <c r="L88" s="68">
        <f t="shared" si="30"/>
        <v>71080.000499999995</v>
      </c>
      <c r="M88" s="68"/>
      <c r="N88" s="68">
        <f t="shared" si="31"/>
        <v>71080.000499999995</v>
      </c>
      <c r="O88" s="68"/>
      <c r="P88" s="68"/>
      <c r="Q88" s="68">
        <f t="shared" si="28"/>
        <v>7108.0000499999996</v>
      </c>
      <c r="R88" s="68">
        <f t="shared" si="32"/>
        <v>14216.000099999999</v>
      </c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109">
        <f t="shared" si="33"/>
        <v>92404.000650000002</v>
      </c>
      <c r="AF88" s="109">
        <f t="shared" si="27"/>
        <v>1108.8480078</v>
      </c>
    </row>
    <row r="89" spans="1:32" ht="12.75" customHeight="1">
      <c r="A89" s="95">
        <v>68</v>
      </c>
      <c r="B89" s="79" t="s">
        <v>465</v>
      </c>
      <c r="C89" s="79"/>
      <c r="D89" s="104" t="s">
        <v>417</v>
      </c>
      <c r="E89" s="64" t="s">
        <v>286</v>
      </c>
      <c r="F89" s="110">
        <v>1</v>
      </c>
      <c r="G89" s="95">
        <v>1</v>
      </c>
      <c r="H89" s="95">
        <v>2.04</v>
      </c>
      <c r="I89" s="95">
        <v>2.77</v>
      </c>
      <c r="J89" s="68">
        <v>17697</v>
      </c>
      <c r="K89" s="96">
        <v>1.45</v>
      </c>
      <c r="L89" s="68">
        <f t="shared" si="30"/>
        <v>71080.000499999995</v>
      </c>
      <c r="M89" s="68"/>
      <c r="N89" s="68">
        <f t="shared" si="31"/>
        <v>71080.000499999995</v>
      </c>
      <c r="O89" s="68"/>
      <c r="P89" s="68"/>
      <c r="Q89" s="68">
        <f t="shared" si="28"/>
        <v>7108.0000499999996</v>
      </c>
      <c r="R89" s="68">
        <f t="shared" si="32"/>
        <v>14216.000099999999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109">
        <f t="shared" si="33"/>
        <v>92404.000650000002</v>
      </c>
      <c r="AF89" s="109">
        <f t="shared" si="27"/>
        <v>1108.8480078</v>
      </c>
    </row>
    <row r="90" spans="1:32" ht="12.75" customHeight="1">
      <c r="A90" s="95">
        <v>68</v>
      </c>
      <c r="B90" s="79" t="s">
        <v>302</v>
      </c>
      <c r="C90" s="79"/>
      <c r="D90" s="81" t="s">
        <v>301</v>
      </c>
      <c r="E90" s="64" t="s">
        <v>286</v>
      </c>
      <c r="F90" s="110">
        <v>1</v>
      </c>
      <c r="G90" s="95">
        <v>2</v>
      </c>
      <c r="H90" s="96">
        <v>20.079999999999998</v>
      </c>
      <c r="I90" s="95">
        <v>2.81</v>
      </c>
      <c r="J90" s="68">
        <v>17697</v>
      </c>
      <c r="K90" s="96">
        <v>1.45</v>
      </c>
      <c r="L90" s="68">
        <f t="shared" si="30"/>
        <v>72106.426500000001</v>
      </c>
      <c r="M90" s="68"/>
      <c r="N90" s="68">
        <f t="shared" si="31"/>
        <v>72106.426500000001</v>
      </c>
      <c r="O90" s="68"/>
      <c r="P90" s="68"/>
      <c r="Q90" s="68">
        <f t="shared" si="28"/>
        <v>7210.6426500000007</v>
      </c>
      <c r="R90" s="68">
        <f t="shared" si="32"/>
        <v>14421.285300000001</v>
      </c>
      <c r="S90" s="66">
        <f>J90*F90*30%</f>
        <v>5309.0999999999995</v>
      </c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109">
        <f t="shared" si="33"/>
        <v>99047.454450000005</v>
      </c>
      <c r="AF90" s="109">
        <f t="shared" si="27"/>
        <v>1188.5694533999999</v>
      </c>
    </row>
    <row r="91" spans="1:32" ht="12.75" customHeight="1">
      <c r="A91" s="95">
        <v>68</v>
      </c>
      <c r="B91" s="79" t="s">
        <v>303</v>
      </c>
      <c r="C91" s="79"/>
      <c r="D91" s="81" t="s">
        <v>301</v>
      </c>
      <c r="E91" s="64" t="s">
        <v>286</v>
      </c>
      <c r="F91" s="110">
        <v>1</v>
      </c>
      <c r="G91" s="95">
        <v>2</v>
      </c>
      <c r="H91" s="95">
        <v>16.09</v>
      </c>
      <c r="I91" s="95">
        <v>2.81</v>
      </c>
      <c r="J91" s="68">
        <v>17697</v>
      </c>
      <c r="K91" s="96">
        <v>1.45</v>
      </c>
      <c r="L91" s="68">
        <f t="shared" si="30"/>
        <v>72106.426500000001</v>
      </c>
      <c r="M91" s="68"/>
      <c r="N91" s="68">
        <f t="shared" si="31"/>
        <v>72106.426500000001</v>
      </c>
      <c r="O91" s="68"/>
      <c r="P91" s="68"/>
      <c r="Q91" s="68">
        <f t="shared" si="28"/>
        <v>7210.6426500000007</v>
      </c>
      <c r="R91" s="68">
        <f t="shared" si="32"/>
        <v>14421.285300000001</v>
      </c>
      <c r="S91" s="66">
        <f t="shared" ref="S91:S125" si="34">J91*F91*30%</f>
        <v>5309.0999999999995</v>
      </c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109">
        <f t="shared" si="33"/>
        <v>99047.454450000005</v>
      </c>
      <c r="AF91" s="109">
        <f t="shared" si="27"/>
        <v>1188.5694533999999</v>
      </c>
    </row>
    <row r="92" spans="1:32" ht="12.75" customHeight="1">
      <c r="A92" s="95">
        <v>68</v>
      </c>
      <c r="B92" s="79" t="s">
        <v>304</v>
      </c>
      <c r="C92" s="79"/>
      <c r="D92" s="81" t="s">
        <v>301</v>
      </c>
      <c r="E92" s="64" t="s">
        <v>286</v>
      </c>
      <c r="F92" s="110">
        <v>1</v>
      </c>
      <c r="G92" s="95">
        <v>2</v>
      </c>
      <c r="H92" s="95">
        <v>31.1</v>
      </c>
      <c r="I92" s="95">
        <v>2.81</v>
      </c>
      <c r="J92" s="68">
        <v>17697</v>
      </c>
      <c r="K92" s="96">
        <v>1.45</v>
      </c>
      <c r="L92" s="68">
        <f t="shared" si="30"/>
        <v>72106.426500000001</v>
      </c>
      <c r="M92" s="68"/>
      <c r="N92" s="68">
        <f t="shared" si="31"/>
        <v>72106.426500000001</v>
      </c>
      <c r="O92" s="68"/>
      <c r="P92" s="68"/>
      <c r="Q92" s="68">
        <f t="shared" si="28"/>
        <v>7210.6426500000007</v>
      </c>
      <c r="R92" s="68">
        <f t="shared" si="32"/>
        <v>14421.285300000001</v>
      </c>
      <c r="S92" s="66">
        <f t="shared" si="34"/>
        <v>5309.0999999999995</v>
      </c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109">
        <f t="shared" si="33"/>
        <v>99047.454450000005</v>
      </c>
      <c r="AF92" s="109">
        <f t="shared" si="27"/>
        <v>1188.5694533999999</v>
      </c>
    </row>
    <row r="93" spans="1:32" ht="12.75" customHeight="1">
      <c r="A93" s="95">
        <v>68</v>
      </c>
      <c r="B93" s="79" t="s">
        <v>305</v>
      </c>
      <c r="C93" s="79"/>
      <c r="D93" s="81" t="s">
        <v>301</v>
      </c>
      <c r="E93" s="64" t="s">
        <v>286</v>
      </c>
      <c r="F93" s="110">
        <v>1</v>
      </c>
      <c r="G93" s="95">
        <v>2</v>
      </c>
      <c r="H93" s="95">
        <v>16.09</v>
      </c>
      <c r="I93" s="95">
        <v>2.81</v>
      </c>
      <c r="J93" s="68">
        <v>17697</v>
      </c>
      <c r="K93" s="96">
        <v>1.45</v>
      </c>
      <c r="L93" s="68">
        <f t="shared" si="30"/>
        <v>72106.426500000001</v>
      </c>
      <c r="M93" s="68"/>
      <c r="N93" s="68">
        <f t="shared" si="31"/>
        <v>72106.426500000001</v>
      </c>
      <c r="O93" s="68"/>
      <c r="P93" s="68"/>
      <c r="Q93" s="68">
        <f t="shared" si="28"/>
        <v>7210.6426500000007</v>
      </c>
      <c r="R93" s="68">
        <f t="shared" si="32"/>
        <v>14421.285300000001</v>
      </c>
      <c r="S93" s="66">
        <f t="shared" si="34"/>
        <v>5309.0999999999995</v>
      </c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109">
        <f t="shared" si="33"/>
        <v>99047.454450000005</v>
      </c>
      <c r="AF93" s="109">
        <f t="shared" si="27"/>
        <v>1188.5694533999999</v>
      </c>
    </row>
    <row r="94" spans="1:32" ht="12.75" customHeight="1">
      <c r="A94" s="95">
        <v>68</v>
      </c>
      <c r="B94" s="79" t="s">
        <v>306</v>
      </c>
      <c r="C94" s="79"/>
      <c r="D94" s="81" t="s">
        <v>301</v>
      </c>
      <c r="E94" s="64" t="s">
        <v>286</v>
      </c>
      <c r="F94" s="110">
        <v>1</v>
      </c>
      <c r="G94" s="95">
        <v>2</v>
      </c>
      <c r="H94" s="95">
        <v>28.07</v>
      </c>
      <c r="I94" s="95">
        <v>2.81</v>
      </c>
      <c r="J94" s="68">
        <v>17697</v>
      </c>
      <c r="K94" s="96">
        <v>1.45</v>
      </c>
      <c r="L94" s="68">
        <f t="shared" si="30"/>
        <v>72106.426500000001</v>
      </c>
      <c r="M94" s="68"/>
      <c r="N94" s="68">
        <f t="shared" si="31"/>
        <v>72106.426500000001</v>
      </c>
      <c r="O94" s="68"/>
      <c r="P94" s="68"/>
      <c r="Q94" s="68">
        <f t="shared" si="28"/>
        <v>7210.6426500000007</v>
      </c>
      <c r="R94" s="68">
        <f t="shared" si="32"/>
        <v>14421.285300000001</v>
      </c>
      <c r="S94" s="66">
        <f t="shared" si="34"/>
        <v>5309.0999999999995</v>
      </c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109">
        <f t="shared" si="33"/>
        <v>99047.454450000005</v>
      </c>
      <c r="AF94" s="109">
        <f t="shared" si="27"/>
        <v>1188.5694533999999</v>
      </c>
    </row>
    <row r="95" spans="1:32" ht="12.75" customHeight="1">
      <c r="A95" s="95">
        <v>68</v>
      </c>
      <c r="B95" s="79" t="s">
        <v>307</v>
      </c>
      <c r="C95" s="79"/>
      <c r="D95" s="81" t="s">
        <v>301</v>
      </c>
      <c r="E95" s="64" t="s">
        <v>286</v>
      </c>
      <c r="F95" s="110">
        <v>1</v>
      </c>
      <c r="G95" s="95">
        <v>2</v>
      </c>
      <c r="H95" s="95">
        <v>26.01</v>
      </c>
      <c r="I95" s="95">
        <v>2.81</v>
      </c>
      <c r="J95" s="68">
        <v>17697</v>
      </c>
      <c r="K95" s="96">
        <v>1.45</v>
      </c>
      <c r="L95" s="68">
        <f t="shared" si="30"/>
        <v>72106.426500000001</v>
      </c>
      <c r="M95" s="68"/>
      <c r="N95" s="68">
        <f t="shared" si="31"/>
        <v>72106.426500000001</v>
      </c>
      <c r="O95" s="68"/>
      <c r="P95" s="68"/>
      <c r="Q95" s="68">
        <f t="shared" si="28"/>
        <v>7210.6426500000007</v>
      </c>
      <c r="R95" s="68">
        <f t="shared" si="32"/>
        <v>14421.285300000001</v>
      </c>
      <c r="S95" s="66">
        <f t="shared" si="34"/>
        <v>5309.0999999999995</v>
      </c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109">
        <f t="shared" si="33"/>
        <v>99047.454450000005</v>
      </c>
      <c r="AF95" s="109">
        <f t="shared" si="27"/>
        <v>1188.5694533999999</v>
      </c>
    </row>
    <row r="96" spans="1:32" ht="12.75" customHeight="1">
      <c r="A96" s="95">
        <v>68</v>
      </c>
      <c r="B96" s="79" t="s">
        <v>308</v>
      </c>
      <c r="C96" s="79"/>
      <c r="D96" s="81" t="s">
        <v>301</v>
      </c>
      <c r="E96" s="64" t="s">
        <v>286</v>
      </c>
      <c r="F96" s="110">
        <v>1</v>
      </c>
      <c r="G96" s="95">
        <v>2</v>
      </c>
      <c r="H96" s="95">
        <v>19.07</v>
      </c>
      <c r="I96" s="95">
        <v>2.81</v>
      </c>
      <c r="J96" s="68">
        <v>17697</v>
      </c>
      <c r="K96" s="96">
        <v>1.45</v>
      </c>
      <c r="L96" s="68">
        <f t="shared" si="30"/>
        <v>72106.426500000001</v>
      </c>
      <c r="M96" s="68"/>
      <c r="N96" s="68">
        <f t="shared" si="31"/>
        <v>72106.426500000001</v>
      </c>
      <c r="O96" s="68"/>
      <c r="P96" s="68"/>
      <c r="Q96" s="68">
        <f t="shared" si="28"/>
        <v>7210.6426500000007</v>
      </c>
      <c r="R96" s="68">
        <f t="shared" si="32"/>
        <v>14421.285300000001</v>
      </c>
      <c r="S96" s="66">
        <f t="shared" si="34"/>
        <v>5309.0999999999995</v>
      </c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109">
        <f t="shared" si="33"/>
        <v>99047.454450000005</v>
      </c>
      <c r="AF96" s="109">
        <f t="shared" si="27"/>
        <v>1188.5694533999999</v>
      </c>
    </row>
    <row r="97" spans="1:32" ht="12.75" customHeight="1">
      <c r="A97" s="95">
        <v>68</v>
      </c>
      <c r="B97" s="79" t="s">
        <v>309</v>
      </c>
      <c r="C97" s="79"/>
      <c r="D97" s="81" t="s">
        <v>301</v>
      </c>
      <c r="E97" s="64" t="s">
        <v>286</v>
      </c>
      <c r="F97" s="110">
        <v>1</v>
      </c>
      <c r="G97" s="95">
        <v>2</v>
      </c>
      <c r="H97" s="95">
        <v>18.09</v>
      </c>
      <c r="I97" s="95">
        <v>2.81</v>
      </c>
      <c r="J97" s="68">
        <v>17697</v>
      </c>
      <c r="K97" s="96">
        <v>1.45</v>
      </c>
      <c r="L97" s="68">
        <f t="shared" si="30"/>
        <v>72106.426500000001</v>
      </c>
      <c r="M97" s="68"/>
      <c r="N97" s="68">
        <f t="shared" si="31"/>
        <v>72106.426500000001</v>
      </c>
      <c r="O97" s="68"/>
      <c r="P97" s="68"/>
      <c r="Q97" s="68">
        <f t="shared" si="28"/>
        <v>7210.6426500000007</v>
      </c>
      <c r="R97" s="68">
        <f t="shared" si="32"/>
        <v>14421.285300000001</v>
      </c>
      <c r="S97" s="66">
        <f t="shared" si="34"/>
        <v>5309.0999999999995</v>
      </c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109">
        <f t="shared" si="33"/>
        <v>99047.454450000005</v>
      </c>
      <c r="AF97" s="109">
        <f t="shared" si="27"/>
        <v>1188.5694533999999</v>
      </c>
    </row>
    <row r="98" spans="1:32" ht="12.75" customHeight="1">
      <c r="A98" s="95">
        <v>68</v>
      </c>
      <c r="B98" s="79" t="s">
        <v>310</v>
      </c>
      <c r="C98" s="79"/>
      <c r="D98" s="81" t="s">
        <v>301</v>
      </c>
      <c r="E98" s="64" t="s">
        <v>286</v>
      </c>
      <c r="F98" s="110">
        <v>1</v>
      </c>
      <c r="G98" s="95">
        <v>2</v>
      </c>
      <c r="H98" s="95">
        <v>20.05</v>
      </c>
      <c r="I98" s="95">
        <v>2.81</v>
      </c>
      <c r="J98" s="68">
        <v>17697</v>
      </c>
      <c r="K98" s="96">
        <v>1.45</v>
      </c>
      <c r="L98" s="68">
        <f t="shared" si="30"/>
        <v>72106.426500000001</v>
      </c>
      <c r="M98" s="68"/>
      <c r="N98" s="68">
        <f t="shared" si="31"/>
        <v>72106.426500000001</v>
      </c>
      <c r="O98" s="68"/>
      <c r="P98" s="68"/>
      <c r="Q98" s="68">
        <f t="shared" si="28"/>
        <v>7210.6426500000007</v>
      </c>
      <c r="R98" s="68">
        <f t="shared" si="32"/>
        <v>14421.285300000001</v>
      </c>
      <c r="S98" s="66">
        <f t="shared" si="34"/>
        <v>5309.0999999999995</v>
      </c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109">
        <f t="shared" si="33"/>
        <v>99047.454450000005</v>
      </c>
      <c r="AF98" s="109">
        <f t="shared" si="27"/>
        <v>1188.5694533999999</v>
      </c>
    </row>
    <row r="99" spans="1:32" ht="12.75" customHeight="1">
      <c r="A99" s="95">
        <v>68</v>
      </c>
      <c r="B99" s="79" t="s">
        <v>770</v>
      </c>
      <c r="C99" s="79"/>
      <c r="D99" s="81" t="s">
        <v>301</v>
      </c>
      <c r="E99" s="64" t="s">
        <v>286</v>
      </c>
      <c r="F99" s="110">
        <v>1</v>
      </c>
      <c r="G99" s="95">
        <v>2</v>
      </c>
      <c r="H99" s="95">
        <v>16.05</v>
      </c>
      <c r="I99" s="95">
        <v>2.81</v>
      </c>
      <c r="J99" s="68">
        <v>17697</v>
      </c>
      <c r="K99" s="96">
        <v>1.45</v>
      </c>
      <c r="L99" s="68">
        <f t="shared" si="30"/>
        <v>72106.426500000001</v>
      </c>
      <c r="M99" s="68"/>
      <c r="N99" s="68">
        <f t="shared" si="31"/>
        <v>72106.426500000001</v>
      </c>
      <c r="O99" s="68"/>
      <c r="P99" s="68"/>
      <c r="Q99" s="68">
        <f t="shared" si="28"/>
        <v>7210.6426500000007</v>
      </c>
      <c r="R99" s="68">
        <f t="shared" si="32"/>
        <v>14421.285300000001</v>
      </c>
      <c r="S99" s="66">
        <f t="shared" si="34"/>
        <v>5309.0999999999995</v>
      </c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109">
        <f t="shared" si="33"/>
        <v>99047.454450000005</v>
      </c>
      <c r="AF99" s="109">
        <f t="shared" si="27"/>
        <v>1188.5694533999999</v>
      </c>
    </row>
    <row r="100" spans="1:32" ht="12.75" customHeight="1">
      <c r="A100" s="95">
        <v>68</v>
      </c>
      <c r="B100" s="79" t="s">
        <v>311</v>
      </c>
      <c r="C100" s="79"/>
      <c r="D100" s="81" t="s">
        <v>301</v>
      </c>
      <c r="E100" s="64" t="s">
        <v>286</v>
      </c>
      <c r="F100" s="110">
        <v>1</v>
      </c>
      <c r="G100" s="95">
        <v>2</v>
      </c>
      <c r="H100" s="95">
        <v>7.01</v>
      </c>
      <c r="I100" s="95">
        <v>2.81</v>
      </c>
      <c r="J100" s="68">
        <v>17697</v>
      </c>
      <c r="K100" s="96">
        <v>1.45</v>
      </c>
      <c r="L100" s="68">
        <f t="shared" si="30"/>
        <v>72106.426500000001</v>
      </c>
      <c r="M100" s="68"/>
      <c r="N100" s="68">
        <f t="shared" si="31"/>
        <v>72106.426500000001</v>
      </c>
      <c r="O100" s="68"/>
      <c r="P100" s="68"/>
      <c r="Q100" s="68">
        <f t="shared" si="28"/>
        <v>7210.6426500000007</v>
      </c>
      <c r="R100" s="68">
        <f t="shared" si="32"/>
        <v>14421.285300000001</v>
      </c>
      <c r="S100" s="66">
        <f t="shared" si="34"/>
        <v>5309.0999999999995</v>
      </c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109">
        <f t="shared" si="33"/>
        <v>99047.454450000005</v>
      </c>
      <c r="AF100" s="109">
        <f t="shared" si="27"/>
        <v>1188.5694533999999</v>
      </c>
    </row>
    <row r="101" spans="1:32" ht="12.75" customHeight="1">
      <c r="A101" s="95">
        <v>68</v>
      </c>
      <c r="B101" s="79" t="s">
        <v>312</v>
      </c>
      <c r="C101" s="79"/>
      <c r="D101" s="81" t="s">
        <v>301</v>
      </c>
      <c r="E101" s="64" t="s">
        <v>286</v>
      </c>
      <c r="F101" s="110">
        <v>1</v>
      </c>
      <c r="G101" s="95">
        <v>2</v>
      </c>
      <c r="H101" s="95">
        <v>31.05</v>
      </c>
      <c r="I101" s="95">
        <v>2.81</v>
      </c>
      <c r="J101" s="68">
        <v>17697</v>
      </c>
      <c r="K101" s="96">
        <v>1.45</v>
      </c>
      <c r="L101" s="68">
        <f t="shared" si="30"/>
        <v>72106.426500000001</v>
      </c>
      <c r="M101" s="68"/>
      <c r="N101" s="68">
        <f t="shared" si="31"/>
        <v>72106.426500000001</v>
      </c>
      <c r="O101" s="68"/>
      <c r="P101" s="68"/>
      <c r="Q101" s="68">
        <f t="shared" si="28"/>
        <v>7210.6426500000007</v>
      </c>
      <c r="R101" s="68">
        <f t="shared" si="32"/>
        <v>14421.285300000001</v>
      </c>
      <c r="S101" s="66">
        <f t="shared" si="34"/>
        <v>5309.0999999999995</v>
      </c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109">
        <f t="shared" si="33"/>
        <v>99047.454450000005</v>
      </c>
      <c r="AF101" s="109">
        <f t="shared" si="27"/>
        <v>1188.5694533999999</v>
      </c>
    </row>
    <row r="102" spans="1:32" ht="12.75" customHeight="1">
      <c r="A102" s="95">
        <v>68</v>
      </c>
      <c r="B102" s="79" t="s">
        <v>313</v>
      </c>
      <c r="C102" s="79"/>
      <c r="D102" s="81" t="s">
        <v>301</v>
      </c>
      <c r="E102" s="64" t="s">
        <v>286</v>
      </c>
      <c r="F102" s="110">
        <v>1</v>
      </c>
      <c r="G102" s="95">
        <v>2</v>
      </c>
      <c r="H102" s="95">
        <v>10.09</v>
      </c>
      <c r="I102" s="95">
        <v>2.81</v>
      </c>
      <c r="J102" s="68">
        <v>17697</v>
      </c>
      <c r="K102" s="96">
        <v>1.45</v>
      </c>
      <c r="L102" s="68">
        <f t="shared" si="30"/>
        <v>72106.426500000001</v>
      </c>
      <c r="M102" s="68"/>
      <c r="N102" s="68">
        <f t="shared" si="31"/>
        <v>72106.426500000001</v>
      </c>
      <c r="O102" s="68"/>
      <c r="P102" s="68"/>
      <c r="Q102" s="68">
        <f t="shared" si="28"/>
        <v>7210.6426500000007</v>
      </c>
      <c r="R102" s="68">
        <f t="shared" si="32"/>
        <v>14421.285300000001</v>
      </c>
      <c r="S102" s="66">
        <f t="shared" si="34"/>
        <v>5309.0999999999995</v>
      </c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109">
        <f t="shared" si="33"/>
        <v>99047.454450000005</v>
      </c>
      <c r="AF102" s="109">
        <f t="shared" si="27"/>
        <v>1188.5694533999999</v>
      </c>
    </row>
    <row r="103" spans="1:32" ht="12.75" customHeight="1">
      <c r="A103" s="95">
        <v>68</v>
      </c>
      <c r="B103" s="79" t="s">
        <v>314</v>
      </c>
      <c r="C103" s="79"/>
      <c r="D103" s="81" t="s">
        <v>301</v>
      </c>
      <c r="E103" s="64" t="s">
        <v>286</v>
      </c>
      <c r="F103" s="110">
        <v>1</v>
      </c>
      <c r="G103" s="95">
        <v>2</v>
      </c>
      <c r="H103" s="95">
        <v>11.02</v>
      </c>
      <c r="I103" s="95">
        <v>2.81</v>
      </c>
      <c r="J103" s="68">
        <v>17697</v>
      </c>
      <c r="K103" s="96">
        <v>1.45</v>
      </c>
      <c r="L103" s="68">
        <f t="shared" si="30"/>
        <v>72106.426500000001</v>
      </c>
      <c r="M103" s="68"/>
      <c r="N103" s="68">
        <f t="shared" si="31"/>
        <v>72106.426500000001</v>
      </c>
      <c r="O103" s="68"/>
      <c r="P103" s="68"/>
      <c r="Q103" s="68">
        <f t="shared" si="28"/>
        <v>7210.6426500000007</v>
      </c>
      <c r="R103" s="68">
        <f t="shared" si="32"/>
        <v>14421.285300000001</v>
      </c>
      <c r="S103" s="66">
        <f t="shared" si="34"/>
        <v>5309.0999999999995</v>
      </c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109">
        <f t="shared" si="33"/>
        <v>99047.454450000005</v>
      </c>
      <c r="AF103" s="109">
        <f t="shared" si="27"/>
        <v>1188.5694533999999</v>
      </c>
    </row>
    <row r="104" spans="1:32" ht="12.75" customHeight="1">
      <c r="A104" s="95">
        <v>68</v>
      </c>
      <c r="B104" s="79" t="s">
        <v>315</v>
      </c>
      <c r="C104" s="79"/>
      <c r="D104" s="81" t="s">
        <v>301</v>
      </c>
      <c r="E104" s="64" t="s">
        <v>286</v>
      </c>
      <c r="F104" s="110">
        <v>1</v>
      </c>
      <c r="G104" s="95">
        <v>2</v>
      </c>
      <c r="H104" s="96">
        <v>14.06</v>
      </c>
      <c r="I104" s="95">
        <v>2.81</v>
      </c>
      <c r="J104" s="68">
        <v>17697</v>
      </c>
      <c r="K104" s="96">
        <v>1.45</v>
      </c>
      <c r="L104" s="68">
        <f t="shared" si="30"/>
        <v>72106.426500000001</v>
      </c>
      <c r="M104" s="68"/>
      <c r="N104" s="68">
        <f t="shared" si="31"/>
        <v>72106.426500000001</v>
      </c>
      <c r="O104" s="68"/>
      <c r="P104" s="68"/>
      <c r="Q104" s="68">
        <f t="shared" si="28"/>
        <v>7210.6426500000007</v>
      </c>
      <c r="R104" s="68">
        <f t="shared" si="32"/>
        <v>14421.285300000001</v>
      </c>
      <c r="S104" s="66">
        <f t="shared" si="34"/>
        <v>5309.0999999999995</v>
      </c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109">
        <f t="shared" si="33"/>
        <v>99047.454450000005</v>
      </c>
      <c r="AF104" s="109">
        <f t="shared" si="27"/>
        <v>1188.5694533999999</v>
      </c>
    </row>
    <row r="105" spans="1:32" ht="12.75" customHeight="1">
      <c r="A105" s="95">
        <v>68</v>
      </c>
      <c r="B105" s="79" t="s">
        <v>316</v>
      </c>
      <c r="C105" s="79"/>
      <c r="D105" s="81" t="s">
        <v>301</v>
      </c>
      <c r="E105" s="64" t="s">
        <v>286</v>
      </c>
      <c r="F105" s="110">
        <v>1</v>
      </c>
      <c r="G105" s="95">
        <v>2</v>
      </c>
      <c r="H105" s="95">
        <v>20.09</v>
      </c>
      <c r="I105" s="95">
        <v>2.81</v>
      </c>
      <c r="J105" s="68">
        <v>17697</v>
      </c>
      <c r="K105" s="96">
        <v>1.45</v>
      </c>
      <c r="L105" s="68">
        <f t="shared" si="30"/>
        <v>72106.426500000001</v>
      </c>
      <c r="M105" s="68"/>
      <c r="N105" s="68">
        <f t="shared" si="31"/>
        <v>72106.426500000001</v>
      </c>
      <c r="O105" s="68"/>
      <c r="P105" s="68"/>
      <c r="Q105" s="68">
        <f t="shared" si="28"/>
        <v>7210.6426500000007</v>
      </c>
      <c r="R105" s="68">
        <f t="shared" si="32"/>
        <v>14421.285300000001</v>
      </c>
      <c r="S105" s="66">
        <f t="shared" si="34"/>
        <v>5309.0999999999995</v>
      </c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109">
        <f t="shared" si="33"/>
        <v>99047.454450000005</v>
      </c>
      <c r="AF105" s="109">
        <f t="shared" si="27"/>
        <v>1188.5694533999999</v>
      </c>
    </row>
    <row r="106" spans="1:32" ht="12.75" customHeight="1">
      <c r="A106" s="95">
        <v>68</v>
      </c>
      <c r="B106" s="79" t="s">
        <v>317</v>
      </c>
      <c r="C106" s="79"/>
      <c r="D106" s="81" t="s">
        <v>301</v>
      </c>
      <c r="E106" s="64" t="s">
        <v>286</v>
      </c>
      <c r="F106" s="110">
        <v>1</v>
      </c>
      <c r="G106" s="95">
        <v>2</v>
      </c>
      <c r="H106" s="96">
        <v>16.059999999999999</v>
      </c>
      <c r="I106" s="95">
        <v>2.81</v>
      </c>
      <c r="J106" s="68">
        <v>17697</v>
      </c>
      <c r="K106" s="96">
        <v>1.45</v>
      </c>
      <c r="L106" s="68">
        <f t="shared" si="30"/>
        <v>72106.426500000001</v>
      </c>
      <c r="M106" s="68"/>
      <c r="N106" s="68">
        <f t="shared" si="31"/>
        <v>72106.426500000001</v>
      </c>
      <c r="O106" s="68"/>
      <c r="P106" s="68"/>
      <c r="Q106" s="68">
        <f t="shared" si="28"/>
        <v>7210.6426500000007</v>
      </c>
      <c r="R106" s="68">
        <f t="shared" si="32"/>
        <v>14421.285300000001</v>
      </c>
      <c r="S106" s="66">
        <f t="shared" si="34"/>
        <v>5309.0999999999995</v>
      </c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109">
        <f t="shared" si="33"/>
        <v>99047.454450000005</v>
      </c>
      <c r="AF106" s="109">
        <f t="shared" si="27"/>
        <v>1188.5694533999999</v>
      </c>
    </row>
    <row r="107" spans="1:32" ht="12.75" customHeight="1">
      <c r="A107" s="95">
        <v>68</v>
      </c>
      <c r="B107" s="79" t="s">
        <v>318</v>
      </c>
      <c r="C107" s="79"/>
      <c r="D107" s="81" t="s">
        <v>301</v>
      </c>
      <c r="E107" s="64" t="s">
        <v>286</v>
      </c>
      <c r="F107" s="110">
        <v>1</v>
      </c>
      <c r="G107" s="95">
        <v>2</v>
      </c>
      <c r="H107" s="95">
        <v>8.02</v>
      </c>
      <c r="I107" s="95">
        <v>2.81</v>
      </c>
      <c r="J107" s="68">
        <v>17697</v>
      </c>
      <c r="K107" s="96">
        <v>1.45</v>
      </c>
      <c r="L107" s="68">
        <f t="shared" si="30"/>
        <v>72106.426500000001</v>
      </c>
      <c r="M107" s="68"/>
      <c r="N107" s="68">
        <f t="shared" si="31"/>
        <v>72106.426500000001</v>
      </c>
      <c r="O107" s="68"/>
      <c r="P107" s="68"/>
      <c r="Q107" s="68">
        <f t="shared" si="28"/>
        <v>7210.6426500000007</v>
      </c>
      <c r="R107" s="68">
        <f t="shared" si="32"/>
        <v>14421.285300000001</v>
      </c>
      <c r="S107" s="66">
        <f t="shared" si="34"/>
        <v>5309.0999999999995</v>
      </c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109">
        <f t="shared" si="33"/>
        <v>99047.454450000005</v>
      </c>
      <c r="AF107" s="109">
        <f t="shared" si="27"/>
        <v>1188.5694533999999</v>
      </c>
    </row>
    <row r="108" spans="1:32" ht="12.75" customHeight="1">
      <c r="A108" s="95">
        <v>68</v>
      </c>
      <c r="B108" s="79" t="s">
        <v>319</v>
      </c>
      <c r="C108" s="79"/>
      <c r="D108" s="81" t="s">
        <v>301</v>
      </c>
      <c r="E108" s="64" t="s">
        <v>286</v>
      </c>
      <c r="F108" s="110">
        <v>1</v>
      </c>
      <c r="G108" s="95">
        <v>2</v>
      </c>
      <c r="H108" s="95">
        <v>18.02</v>
      </c>
      <c r="I108" s="95">
        <v>2.81</v>
      </c>
      <c r="J108" s="68">
        <v>17697</v>
      </c>
      <c r="K108" s="96">
        <v>1.45</v>
      </c>
      <c r="L108" s="68">
        <f t="shared" si="30"/>
        <v>72106.426500000001</v>
      </c>
      <c r="M108" s="68"/>
      <c r="N108" s="68">
        <f t="shared" si="31"/>
        <v>72106.426500000001</v>
      </c>
      <c r="O108" s="68"/>
      <c r="P108" s="68"/>
      <c r="Q108" s="68">
        <f t="shared" si="28"/>
        <v>7210.6426500000007</v>
      </c>
      <c r="R108" s="68">
        <f t="shared" si="32"/>
        <v>14421.285300000001</v>
      </c>
      <c r="S108" s="66">
        <f t="shared" si="34"/>
        <v>5309.0999999999995</v>
      </c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109">
        <f t="shared" si="33"/>
        <v>99047.454450000005</v>
      </c>
      <c r="AF108" s="109">
        <f t="shared" si="27"/>
        <v>1188.5694533999999</v>
      </c>
    </row>
    <row r="109" spans="1:32" ht="12.75" customHeight="1">
      <c r="A109" s="95">
        <v>68</v>
      </c>
      <c r="B109" s="79" t="s">
        <v>320</v>
      </c>
      <c r="C109" s="79"/>
      <c r="D109" s="81" t="s">
        <v>301</v>
      </c>
      <c r="E109" s="64" t="s">
        <v>286</v>
      </c>
      <c r="F109" s="110">
        <v>1</v>
      </c>
      <c r="G109" s="95">
        <v>2</v>
      </c>
      <c r="H109" s="95">
        <v>4.0199999999999996</v>
      </c>
      <c r="I109" s="95">
        <v>2.81</v>
      </c>
      <c r="J109" s="68">
        <v>17697</v>
      </c>
      <c r="K109" s="96">
        <v>1.45</v>
      </c>
      <c r="L109" s="68">
        <f t="shared" si="30"/>
        <v>72106.426500000001</v>
      </c>
      <c r="M109" s="68"/>
      <c r="N109" s="68">
        <f t="shared" si="31"/>
        <v>72106.426500000001</v>
      </c>
      <c r="O109" s="68"/>
      <c r="P109" s="68"/>
      <c r="Q109" s="68">
        <f t="shared" si="28"/>
        <v>7210.6426500000007</v>
      </c>
      <c r="R109" s="68">
        <f t="shared" si="32"/>
        <v>14421.285300000001</v>
      </c>
      <c r="S109" s="66">
        <f t="shared" si="34"/>
        <v>5309.0999999999995</v>
      </c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109">
        <f t="shared" si="33"/>
        <v>99047.454450000005</v>
      </c>
      <c r="AF109" s="109">
        <f t="shared" si="27"/>
        <v>1188.5694533999999</v>
      </c>
    </row>
    <row r="110" spans="1:32" ht="12.75" customHeight="1">
      <c r="A110" s="95">
        <v>68</v>
      </c>
      <c r="B110" s="79" t="s">
        <v>321</v>
      </c>
      <c r="C110" s="79"/>
      <c r="D110" s="81" t="s">
        <v>301</v>
      </c>
      <c r="E110" s="64" t="s">
        <v>286</v>
      </c>
      <c r="F110" s="110">
        <v>1</v>
      </c>
      <c r="G110" s="95">
        <v>2</v>
      </c>
      <c r="H110" s="96">
        <v>1.05</v>
      </c>
      <c r="I110" s="95">
        <v>2.81</v>
      </c>
      <c r="J110" s="68">
        <v>17697</v>
      </c>
      <c r="K110" s="96">
        <v>1.45</v>
      </c>
      <c r="L110" s="68">
        <f t="shared" si="30"/>
        <v>72106.426500000001</v>
      </c>
      <c r="M110" s="68"/>
      <c r="N110" s="68">
        <f t="shared" si="31"/>
        <v>72106.426500000001</v>
      </c>
      <c r="O110" s="68"/>
      <c r="P110" s="68"/>
      <c r="Q110" s="68">
        <f t="shared" si="28"/>
        <v>7210.6426500000007</v>
      </c>
      <c r="R110" s="68">
        <f t="shared" si="32"/>
        <v>14421.285300000001</v>
      </c>
      <c r="S110" s="66">
        <f t="shared" si="34"/>
        <v>5309.0999999999995</v>
      </c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109">
        <f t="shared" si="33"/>
        <v>99047.454450000005</v>
      </c>
      <c r="AF110" s="109">
        <f t="shared" si="27"/>
        <v>1188.5694533999999</v>
      </c>
    </row>
    <row r="111" spans="1:32" ht="12.75" customHeight="1">
      <c r="A111" s="95">
        <v>68</v>
      </c>
      <c r="B111" s="79" t="s">
        <v>322</v>
      </c>
      <c r="C111" s="79"/>
      <c r="D111" s="81" t="s">
        <v>301</v>
      </c>
      <c r="E111" s="64" t="s">
        <v>286</v>
      </c>
      <c r="F111" s="110">
        <v>1</v>
      </c>
      <c r="G111" s="95">
        <v>2</v>
      </c>
      <c r="H111" s="95">
        <v>9.09</v>
      </c>
      <c r="I111" s="95">
        <v>2.81</v>
      </c>
      <c r="J111" s="68">
        <v>17697</v>
      </c>
      <c r="K111" s="96">
        <v>1.45</v>
      </c>
      <c r="L111" s="68">
        <f t="shared" si="30"/>
        <v>72106.426500000001</v>
      </c>
      <c r="M111" s="68"/>
      <c r="N111" s="68">
        <f t="shared" si="31"/>
        <v>72106.426500000001</v>
      </c>
      <c r="O111" s="68"/>
      <c r="P111" s="68"/>
      <c r="Q111" s="68">
        <f t="shared" si="28"/>
        <v>7210.6426500000007</v>
      </c>
      <c r="R111" s="68">
        <f t="shared" si="32"/>
        <v>14421.285300000001</v>
      </c>
      <c r="S111" s="66">
        <f t="shared" si="34"/>
        <v>5309.0999999999995</v>
      </c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109">
        <f t="shared" si="33"/>
        <v>99047.454450000005</v>
      </c>
      <c r="AF111" s="109">
        <f t="shared" si="27"/>
        <v>1188.5694533999999</v>
      </c>
    </row>
    <row r="112" spans="1:32" ht="12.75" customHeight="1">
      <c r="A112" s="95">
        <v>68</v>
      </c>
      <c r="B112" s="79" t="s">
        <v>323</v>
      </c>
      <c r="C112" s="79"/>
      <c r="D112" s="81" t="s">
        <v>301</v>
      </c>
      <c r="E112" s="64" t="s">
        <v>286</v>
      </c>
      <c r="F112" s="110">
        <v>1</v>
      </c>
      <c r="G112" s="95">
        <v>2</v>
      </c>
      <c r="H112" s="95">
        <v>23</v>
      </c>
      <c r="I112" s="95">
        <v>2.81</v>
      </c>
      <c r="J112" s="68">
        <v>17697</v>
      </c>
      <c r="K112" s="96">
        <v>1.45</v>
      </c>
      <c r="L112" s="68">
        <f t="shared" si="30"/>
        <v>72106.426500000001</v>
      </c>
      <c r="M112" s="68"/>
      <c r="N112" s="68">
        <f t="shared" si="31"/>
        <v>72106.426500000001</v>
      </c>
      <c r="O112" s="68"/>
      <c r="P112" s="68"/>
      <c r="Q112" s="68">
        <f t="shared" si="28"/>
        <v>7210.6426500000007</v>
      </c>
      <c r="R112" s="68">
        <f t="shared" si="32"/>
        <v>14421.285300000001</v>
      </c>
      <c r="S112" s="66">
        <f t="shared" si="34"/>
        <v>5309.0999999999995</v>
      </c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109">
        <f t="shared" si="33"/>
        <v>99047.454450000005</v>
      </c>
      <c r="AF112" s="109">
        <f t="shared" si="27"/>
        <v>1188.5694533999999</v>
      </c>
    </row>
    <row r="113" spans="1:32" ht="12.75" customHeight="1">
      <c r="A113" s="95">
        <v>68</v>
      </c>
      <c r="B113" s="79" t="s">
        <v>324</v>
      </c>
      <c r="C113" s="79"/>
      <c r="D113" s="81" t="s">
        <v>301</v>
      </c>
      <c r="E113" s="64" t="s">
        <v>286</v>
      </c>
      <c r="F113" s="110">
        <v>1</v>
      </c>
      <c r="G113" s="95">
        <v>2</v>
      </c>
      <c r="H113" s="95">
        <v>10.08</v>
      </c>
      <c r="I113" s="95">
        <v>2.81</v>
      </c>
      <c r="J113" s="68">
        <v>17697</v>
      </c>
      <c r="K113" s="96">
        <v>1.45</v>
      </c>
      <c r="L113" s="68">
        <f t="shared" si="30"/>
        <v>72106.426500000001</v>
      </c>
      <c r="M113" s="68"/>
      <c r="N113" s="68">
        <f t="shared" si="31"/>
        <v>72106.426500000001</v>
      </c>
      <c r="O113" s="68"/>
      <c r="P113" s="68"/>
      <c r="Q113" s="68">
        <f t="shared" si="28"/>
        <v>7210.6426500000007</v>
      </c>
      <c r="R113" s="68">
        <f t="shared" si="32"/>
        <v>14421.285300000001</v>
      </c>
      <c r="S113" s="66">
        <f t="shared" si="34"/>
        <v>5309.0999999999995</v>
      </c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109">
        <f t="shared" si="33"/>
        <v>99047.454450000005</v>
      </c>
      <c r="AF113" s="109">
        <f t="shared" si="27"/>
        <v>1188.5694533999999</v>
      </c>
    </row>
    <row r="114" spans="1:32" s="105" customFormat="1" ht="12.75" customHeight="1">
      <c r="A114" s="95">
        <v>68</v>
      </c>
      <c r="B114" s="79" t="s">
        <v>294</v>
      </c>
      <c r="C114" s="79"/>
      <c r="D114" s="104" t="s">
        <v>293</v>
      </c>
      <c r="E114" s="64" t="s">
        <v>286</v>
      </c>
      <c r="F114" s="110">
        <v>1</v>
      </c>
      <c r="G114" s="95">
        <v>2</v>
      </c>
      <c r="H114" s="96">
        <v>23.08</v>
      </c>
      <c r="I114" s="95">
        <v>2.81</v>
      </c>
      <c r="J114" s="68">
        <v>17697</v>
      </c>
      <c r="K114" s="96">
        <v>1.45</v>
      </c>
      <c r="L114" s="68">
        <f>J114*F114*I114*K114</f>
        <v>72106.426500000001</v>
      </c>
      <c r="M114" s="68"/>
      <c r="N114" s="68">
        <f>L114+M114</f>
        <v>72106.426500000001</v>
      </c>
      <c r="O114" s="68"/>
      <c r="P114" s="68"/>
      <c r="Q114" s="68">
        <f>N114*10%</f>
        <v>7210.6426500000007</v>
      </c>
      <c r="R114" s="68">
        <f>N114*20%</f>
        <v>14421.285300000001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109">
        <f t="shared" si="33"/>
        <v>93738.354449999999</v>
      </c>
      <c r="AF114" s="109">
        <f t="shared" si="27"/>
        <v>1124.8602534000001</v>
      </c>
    </row>
    <row r="115" spans="1:32" s="105" customFormat="1" ht="12.75" customHeight="1">
      <c r="A115" s="95">
        <v>68</v>
      </c>
      <c r="B115" s="79" t="s">
        <v>295</v>
      </c>
      <c r="C115" s="79"/>
      <c r="D115" s="104" t="s">
        <v>293</v>
      </c>
      <c r="E115" s="64" t="s">
        <v>286</v>
      </c>
      <c r="F115" s="110">
        <v>1</v>
      </c>
      <c r="G115" s="95">
        <v>2</v>
      </c>
      <c r="H115" s="95">
        <v>26.07</v>
      </c>
      <c r="I115" s="95">
        <v>2.81</v>
      </c>
      <c r="J115" s="68">
        <v>17697</v>
      </c>
      <c r="K115" s="96">
        <v>1.45</v>
      </c>
      <c r="L115" s="68">
        <f>J115*F115*I115*K115</f>
        <v>72106.426500000001</v>
      </c>
      <c r="M115" s="68"/>
      <c r="N115" s="68">
        <f>L115+M115</f>
        <v>72106.426500000001</v>
      </c>
      <c r="O115" s="68"/>
      <c r="P115" s="68"/>
      <c r="Q115" s="68">
        <f>N115*10%</f>
        <v>7210.6426500000007</v>
      </c>
      <c r="R115" s="68">
        <f>N115*20%</f>
        <v>14421.285300000001</v>
      </c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109">
        <f t="shared" si="33"/>
        <v>93738.354449999999</v>
      </c>
      <c r="AF115" s="109">
        <f t="shared" si="27"/>
        <v>1124.8602534000001</v>
      </c>
    </row>
    <row r="116" spans="1:32" ht="12.75" customHeight="1">
      <c r="A116" s="95">
        <v>68</v>
      </c>
      <c r="B116" s="79" t="s">
        <v>325</v>
      </c>
      <c r="C116" s="79"/>
      <c r="D116" s="230" t="s">
        <v>439</v>
      </c>
      <c r="E116" s="64" t="s">
        <v>286</v>
      </c>
      <c r="F116" s="110">
        <v>0.5</v>
      </c>
      <c r="G116" s="95">
        <v>2</v>
      </c>
      <c r="H116" s="95">
        <v>23</v>
      </c>
      <c r="I116" s="95">
        <v>2.81</v>
      </c>
      <c r="J116" s="68">
        <v>17697</v>
      </c>
      <c r="K116" s="96">
        <v>1.45</v>
      </c>
      <c r="L116" s="68">
        <f t="shared" si="30"/>
        <v>36053.213250000001</v>
      </c>
      <c r="M116" s="68"/>
      <c r="N116" s="68">
        <f t="shared" si="31"/>
        <v>36053.213250000001</v>
      </c>
      <c r="O116" s="68"/>
      <c r="P116" s="68"/>
      <c r="Q116" s="68">
        <f t="shared" si="28"/>
        <v>3605.3213250000003</v>
      </c>
      <c r="R116" s="68">
        <f t="shared" si="32"/>
        <v>7210.6426500000007</v>
      </c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109">
        <f t="shared" si="33"/>
        <v>46869.177224999999</v>
      </c>
      <c r="AF116" s="109">
        <f t="shared" si="27"/>
        <v>562.43012670000007</v>
      </c>
    </row>
    <row r="117" spans="1:32" ht="12.75" customHeight="1">
      <c r="A117" s="95">
        <v>68</v>
      </c>
      <c r="B117" s="79" t="s">
        <v>325</v>
      </c>
      <c r="C117" s="79"/>
      <c r="D117" s="111" t="s">
        <v>440</v>
      </c>
      <c r="E117" s="64" t="s">
        <v>286</v>
      </c>
      <c r="F117" s="110">
        <v>0.5</v>
      </c>
      <c r="G117" s="95">
        <v>2</v>
      </c>
      <c r="H117" s="95">
        <v>23</v>
      </c>
      <c r="I117" s="95">
        <v>2.81</v>
      </c>
      <c r="J117" s="68">
        <v>17697</v>
      </c>
      <c r="K117" s="96">
        <v>1.45</v>
      </c>
      <c r="L117" s="68">
        <f t="shared" si="30"/>
        <v>36053.213250000001</v>
      </c>
      <c r="M117" s="68"/>
      <c r="N117" s="68">
        <f t="shared" si="31"/>
        <v>36053.213250000001</v>
      </c>
      <c r="O117" s="68"/>
      <c r="P117" s="68"/>
      <c r="Q117" s="68">
        <f t="shared" si="28"/>
        <v>3605.3213250000003</v>
      </c>
      <c r="R117" s="68">
        <f t="shared" si="32"/>
        <v>7210.6426500000007</v>
      </c>
      <c r="S117" s="66">
        <f>J117*F117*20%</f>
        <v>1769.7</v>
      </c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109">
        <f t="shared" si="33"/>
        <v>48638.877224999997</v>
      </c>
      <c r="AF117" s="109">
        <f t="shared" si="27"/>
        <v>583.66652669999996</v>
      </c>
    </row>
    <row r="118" spans="1:32" ht="12.75" customHeight="1">
      <c r="A118" s="95">
        <v>68</v>
      </c>
      <c r="B118" s="79" t="s">
        <v>326</v>
      </c>
      <c r="C118" s="79"/>
      <c r="D118" s="111" t="s">
        <v>440</v>
      </c>
      <c r="E118" s="64" t="s">
        <v>286</v>
      </c>
      <c r="F118" s="110">
        <v>1</v>
      </c>
      <c r="G118" s="95">
        <v>2</v>
      </c>
      <c r="H118" s="95">
        <v>21.04</v>
      </c>
      <c r="I118" s="95">
        <v>2.81</v>
      </c>
      <c r="J118" s="68">
        <v>17697</v>
      </c>
      <c r="K118" s="96">
        <v>1.45</v>
      </c>
      <c r="L118" s="68">
        <f t="shared" si="30"/>
        <v>72106.426500000001</v>
      </c>
      <c r="M118" s="68"/>
      <c r="N118" s="68">
        <f t="shared" si="31"/>
        <v>72106.426500000001</v>
      </c>
      <c r="O118" s="68"/>
      <c r="P118" s="68"/>
      <c r="Q118" s="68">
        <f t="shared" si="28"/>
        <v>7210.6426500000007</v>
      </c>
      <c r="R118" s="68">
        <f t="shared" si="32"/>
        <v>14421.285300000001</v>
      </c>
      <c r="S118" s="66">
        <f>J118*F118*20%</f>
        <v>3539.4</v>
      </c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109">
        <f t="shared" si="33"/>
        <v>97277.754449999993</v>
      </c>
      <c r="AF118" s="109">
        <f t="shared" si="27"/>
        <v>1167.3330533999999</v>
      </c>
    </row>
    <row r="119" spans="1:32" ht="12.75" customHeight="1">
      <c r="A119" s="95">
        <v>68</v>
      </c>
      <c r="B119" s="79" t="s">
        <v>771</v>
      </c>
      <c r="C119" s="79"/>
      <c r="D119" s="81" t="s">
        <v>441</v>
      </c>
      <c r="E119" s="64" t="s">
        <v>286</v>
      </c>
      <c r="F119" s="110">
        <v>1</v>
      </c>
      <c r="G119" s="95">
        <v>2</v>
      </c>
      <c r="H119" s="96" t="s">
        <v>772</v>
      </c>
      <c r="I119" s="95">
        <v>2.81</v>
      </c>
      <c r="J119" s="68">
        <v>17697</v>
      </c>
      <c r="K119" s="96">
        <v>1.45</v>
      </c>
      <c r="L119" s="68">
        <f t="shared" si="30"/>
        <v>72106.426500000001</v>
      </c>
      <c r="M119" s="68"/>
      <c r="N119" s="68">
        <f t="shared" si="31"/>
        <v>72106.426500000001</v>
      </c>
      <c r="O119" s="68"/>
      <c r="P119" s="68"/>
      <c r="Q119" s="68">
        <f t="shared" si="28"/>
        <v>7210.6426500000007</v>
      </c>
      <c r="R119" s="68">
        <f t="shared" si="32"/>
        <v>14421.285300000001</v>
      </c>
      <c r="S119" s="66">
        <f>J119*F119*20%</f>
        <v>3539.4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109">
        <f t="shared" si="33"/>
        <v>97277.754449999993</v>
      </c>
      <c r="AF119" s="109">
        <f t="shared" si="27"/>
        <v>1167.3330533999999</v>
      </c>
    </row>
    <row r="120" spans="1:32" ht="12.75" customHeight="1">
      <c r="A120" s="95">
        <v>68</v>
      </c>
      <c r="B120" s="79" t="s">
        <v>331</v>
      </c>
      <c r="C120" s="79"/>
      <c r="D120" s="111" t="s">
        <v>330</v>
      </c>
      <c r="E120" s="64" t="s">
        <v>286</v>
      </c>
      <c r="F120" s="110">
        <v>1</v>
      </c>
      <c r="G120" s="95">
        <v>1</v>
      </c>
      <c r="H120" s="96">
        <v>3.06</v>
      </c>
      <c r="I120" s="95">
        <v>2.77</v>
      </c>
      <c r="J120" s="68">
        <v>17697</v>
      </c>
      <c r="K120" s="96">
        <v>1.45</v>
      </c>
      <c r="L120" s="68">
        <f t="shared" si="30"/>
        <v>71080.000499999995</v>
      </c>
      <c r="M120" s="68"/>
      <c r="N120" s="68">
        <f t="shared" si="31"/>
        <v>71080.000499999995</v>
      </c>
      <c r="O120" s="68"/>
      <c r="P120" s="68"/>
      <c r="Q120" s="68">
        <f t="shared" si="28"/>
        <v>7108.0000499999996</v>
      </c>
      <c r="R120" s="68">
        <f t="shared" si="32"/>
        <v>14216.000099999999</v>
      </c>
      <c r="S120" s="66">
        <f t="shared" si="34"/>
        <v>5309.0999999999995</v>
      </c>
      <c r="T120" s="66"/>
      <c r="U120" s="66"/>
      <c r="V120" s="66">
        <v>10336</v>
      </c>
      <c r="W120" s="66">
        <v>10571</v>
      </c>
      <c r="X120" s="66"/>
      <c r="Y120" s="66"/>
      <c r="Z120" s="66"/>
      <c r="AA120" s="66"/>
      <c r="AB120" s="66"/>
      <c r="AC120" s="66"/>
      <c r="AD120" s="66"/>
      <c r="AE120" s="109">
        <f t="shared" si="33"/>
        <v>118620.10065000001</v>
      </c>
      <c r="AF120" s="109">
        <f t="shared" si="27"/>
        <v>1423.4412078</v>
      </c>
    </row>
    <row r="121" spans="1:32" ht="12.75" customHeight="1">
      <c r="A121" s="95">
        <v>68</v>
      </c>
      <c r="B121" s="79" t="s">
        <v>178</v>
      </c>
      <c r="C121" s="79"/>
      <c r="D121" s="111" t="s">
        <v>330</v>
      </c>
      <c r="E121" s="64" t="s">
        <v>286</v>
      </c>
      <c r="F121" s="110">
        <v>1</v>
      </c>
      <c r="G121" s="95">
        <v>1</v>
      </c>
      <c r="H121" s="95">
        <v>1.04</v>
      </c>
      <c r="I121" s="95">
        <v>2.77</v>
      </c>
      <c r="J121" s="68">
        <v>17697</v>
      </c>
      <c r="K121" s="96">
        <v>1.45</v>
      </c>
      <c r="L121" s="68">
        <f t="shared" si="30"/>
        <v>71080.000499999995</v>
      </c>
      <c r="M121" s="68"/>
      <c r="N121" s="68">
        <f t="shared" si="31"/>
        <v>71080.000499999995</v>
      </c>
      <c r="O121" s="68"/>
      <c r="P121" s="68"/>
      <c r="Q121" s="68">
        <f t="shared" si="28"/>
        <v>7108.0000499999996</v>
      </c>
      <c r="R121" s="68">
        <f t="shared" si="32"/>
        <v>14216.000099999999</v>
      </c>
      <c r="S121" s="66">
        <f t="shared" si="34"/>
        <v>5309.0999999999995</v>
      </c>
      <c r="T121" s="66"/>
      <c r="U121" s="66"/>
      <c r="V121" s="66">
        <v>10336</v>
      </c>
      <c r="W121" s="66">
        <v>10571</v>
      </c>
      <c r="X121" s="66"/>
      <c r="Y121" s="66"/>
      <c r="Z121" s="66"/>
      <c r="AA121" s="66"/>
      <c r="AB121" s="66"/>
      <c r="AC121" s="66"/>
      <c r="AD121" s="66"/>
      <c r="AE121" s="109">
        <f t="shared" si="33"/>
        <v>118620.10065000001</v>
      </c>
      <c r="AF121" s="109">
        <f t="shared" si="27"/>
        <v>1423.4412078</v>
      </c>
    </row>
    <row r="122" spans="1:32" ht="12.75" customHeight="1">
      <c r="A122" s="95">
        <v>68</v>
      </c>
      <c r="B122" s="79" t="s">
        <v>178</v>
      </c>
      <c r="C122" s="79"/>
      <c r="D122" s="111" t="s">
        <v>330</v>
      </c>
      <c r="E122" s="64" t="s">
        <v>286</v>
      </c>
      <c r="F122" s="110">
        <v>1</v>
      </c>
      <c r="G122" s="95">
        <v>1</v>
      </c>
      <c r="H122" s="95">
        <v>27.09</v>
      </c>
      <c r="I122" s="95">
        <v>2.77</v>
      </c>
      <c r="J122" s="68">
        <v>17697</v>
      </c>
      <c r="K122" s="96">
        <v>1.45</v>
      </c>
      <c r="L122" s="68">
        <f t="shared" si="30"/>
        <v>71080.000499999995</v>
      </c>
      <c r="M122" s="68"/>
      <c r="N122" s="68">
        <f t="shared" si="31"/>
        <v>71080.000499999995</v>
      </c>
      <c r="O122" s="68"/>
      <c r="P122" s="68"/>
      <c r="Q122" s="68">
        <f t="shared" si="28"/>
        <v>7108.0000499999996</v>
      </c>
      <c r="R122" s="68">
        <f t="shared" si="32"/>
        <v>14216.000099999999</v>
      </c>
      <c r="S122" s="66">
        <f t="shared" si="34"/>
        <v>5309.0999999999995</v>
      </c>
      <c r="T122" s="66"/>
      <c r="U122" s="66"/>
      <c r="V122" s="66">
        <v>10336</v>
      </c>
      <c r="W122" s="66">
        <v>10571</v>
      </c>
      <c r="X122" s="66"/>
      <c r="Y122" s="66"/>
      <c r="Z122" s="66"/>
      <c r="AA122" s="66"/>
      <c r="AB122" s="66"/>
      <c r="AC122" s="66"/>
      <c r="AD122" s="66"/>
      <c r="AE122" s="109">
        <f t="shared" si="33"/>
        <v>118620.10065000001</v>
      </c>
      <c r="AF122" s="109">
        <f t="shared" si="27"/>
        <v>1423.4412078</v>
      </c>
    </row>
    <row r="123" spans="1:32" ht="12.75" customHeight="1">
      <c r="A123" s="95">
        <v>68</v>
      </c>
      <c r="B123" s="79" t="s">
        <v>178</v>
      </c>
      <c r="C123" s="79"/>
      <c r="D123" s="111" t="s">
        <v>330</v>
      </c>
      <c r="E123" s="64" t="s">
        <v>286</v>
      </c>
      <c r="F123" s="110">
        <v>1</v>
      </c>
      <c r="G123" s="95">
        <v>1</v>
      </c>
      <c r="H123" s="95">
        <v>0.03</v>
      </c>
      <c r="I123" s="95">
        <v>2.77</v>
      </c>
      <c r="J123" s="68">
        <v>17697</v>
      </c>
      <c r="K123" s="96">
        <v>1.45</v>
      </c>
      <c r="L123" s="68">
        <f t="shared" si="30"/>
        <v>71080.000499999995</v>
      </c>
      <c r="M123" s="68"/>
      <c r="N123" s="68">
        <f t="shared" si="31"/>
        <v>71080.000499999995</v>
      </c>
      <c r="O123" s="68"/>
      <c r="P123" s="68"/>
      <c r="Q123" s="68">
        <f t="shared" si="28"/>
        <v>7108.0000499999996</v>
      </c>
      <c r="R123" s="68">
        <f t="shared" si="32"/>
        <v>14216.000099999999</v>
      </c>
      <c r="S123" s="66">
        <f t="shared" si="34"/>
        <v>5309.0999999999995</v>
      </c>
      <c r="T123" s="66"/>
      <c r="U123" s="66"/>
      <c r="V123" s="66">
        <v>10336</v>
      </c>
      <c r="W123" s="66">
        <v>10571</v>
      </c>
      <c r="X123" s="66"/>
      <c r="Y123" s="66"/>
      <c r="Z123" s="66"/>
      <c r="AA123" s="66"/>
      <c r="AB123" s="66"/>
      <c r="AC123" s="66"/>
      <c r="AD123" s="66"/>
      <c r="AE123" s="109">
        <f t="shared" si="33"/>
        <v>118620.10065000001</v>
      </c>
      <c r="AF123" s="109">
        <f t="shared" si="27"/>
        <v>1423.4412078</v>
      </c>
    </row>
    <row r="124" spans="1:32" ht="12.75" customHeight="1">
      <c r="A124" s="95">
        <v>68</v>
      </c>
      <c r="B124" s="79" t="s">
        <v>178</v>
      </c>
      <c r="C124" s="79"/>
      <c r="D124" s="111" t="s">
        <v>330</v>
      </c>
      <c r="E124" s="64" t="s">
        <v>286</v>
      </c>
      <c r="F124" s="110">
        <v>1</v>
      </c>
      <c r="G124" s="95">
        <v>1</v>
      </c>
      <c r="H124" s="95">
        <v>0.03</v>
      </c>
      <c r="I124" s="95">
        <v>2.77</v>
      </c>
      <c r="J124" s="68">
        <v>17697</v>
      </c>
      <c r="K124" s="96">
        <v>1.45</v>
      </c>
      <c r="L124" s="68">
        <f t="shared" si="30"/>
        <v>71080.000499999995</v>
      </c>
      <c r="M124" s="68"/>
      <c r="N124" s="68">
        <f t="shared" si="31"/>
        <v>71080.000499999995</v>
      </c>
      <c r="O124" s="68"/>
      <c r="P124" s="68"/>
      <c r="Q124" s="68">
        <f t="shared" si="28"/>
        <v>7108.0000499999996</v>
      </c>
      <c r="R124" s="68">
        <f t="shared" si="32"/>
        <v>14216.000099999999</v>
      </c>
      <c r="S124" s="66">
        <f t="shared" si="34"/>
        <v>5309.0999999999995</v>
      </c>
      <c r="T124" s="66"/>
      <c r="U124" s="66"/>
      <c r="V124" s="66">
        <v>10336</v>
      </c>
      <c r="W124" s="66">
        <v>10571</v>
      </c>
      <c r="X124" s="66"/>
      <c r="Y124" s="66"/>
      <c r="Z124" s="66"/>
      <c r="AA124" s="66"/>
      <c r="AB124" s="66"/>
      <c r="AC124" s="66"/>
      <c r="AD124" s="66"/>
      <c r="AE124" s="109">
        <f t="shared" si="33"/>
        <v>118620.10065000001</v>
      </c>
      <c r="AF124" s="109">
        <f t="shared" si="27"/>
        <v>1423.4412078</v>
      </c>
    </row>
    <row r="125" spans="1:32" ht="12.75" customHeight="1">
      <c r="A125" s="95">
        <v>68</v>
      </c>
      <c r="B125" s="79" t="s">
        <v>178</v>
      </c>
      <c r="C125" s="79"/>
      <c r="D125" s="111" t="s">
        <v>330</v>
      </c>
      <c r="E125" s="64" t="s">
        <v>286</v>
      </c>
      <c r="F125" s="110">
        <v>1</v>
      </c>
      <c r="G125" s="95">
        <v>1</v>
      </c>
      <c r="H125" s="96">
        <v>0</v>
      </c>
      <c r="I125" s="95">
        <v>2.77</v>
      </c>
      <c r="J125" s="68">
        <v>17697</v>
      </c>
      <c r="K125" s="96">
        <v>1.45</v>
      </c>
      <c r="L125" s="68">
        <f t="shared" si="30"/>
        <v>71080.000499999995</v>
      </c>
      <c r="M125" s="68"/>
      <c r="N125" s="68">
        <f t="shared" si="31"/>
        <v>71080.000499999995</v>
      </c>
      <c r="O125" s="68"/>
      <c r="P125" s="68"/>
      <c r="Q125" s="68">
        <f t="shared" si="28"/>
        <v>7108.0000499999996</v>
      </c>
      <c r="R125" s="68">
        <f t="shared" si="32"/>
        <v>14216.000099999999</v>
      </c>
      <c r="S125" s="66">
        <f t="shared" si="34"/>
        <v>5309.0999999999995</v>
      </c>
      <c r="T125" s="66"/>
      <c r="U125" s="66"/>
      <c r="V125" s="66">
        <v>10336</v>
      </c>
      <c r="W125" s="66">
        <v>10571</v>
      </c>
      <c r="X125" s="66"/>
      <c r="Y125" s="66"/>
      <c r="Z125" s="66"/>
      <c r="AA125" s="66"/>
      <c r="AB125" s="66"/>
      <c r="AC125" s="66"/>
      <c r="AD125" s="66"/>
      <c r="AE125" s="109">
        <f t="shared" si="33"/>
        <v>118620.10065000001</v>
      </c>
      <c r="AF125" s="109">
        <f t="shared" si="27"/>
        <v>1423.4412078</v>
      </c>
    </row>
    <row r="126" spans="1:32" s="105" customFormat="1" ht="12.75" customHeight="1">
      <c r="A126" s="95">
        <v>68</v>
      </c>
      <c r="B126" s="79" t="s">
        <v>290</v>
      </c>
      <c r="C126" s="79"/>
      <c r="D126" s="320" t="s">
        <v>285</v>
      </c>
      <c r="E126" s="64" t="s">
        <v>840</v>
      </c>
      <c r="F126" s="110">
        <v>1</v>
      </c>
      <c r="G126" s="95">
        <v>3</v>
      </c>
      <c r="H126" s="95">
        <v>23.1</v>
      </c>
      <c r="I126" s="95">
        <v>2.84</v>
      </c>
      <c r="J126" s="68">
        <v>17697</v>
      </c>
      <c r="K126" s="96">
        <v>1.45</v>
      </c>
      <c r="L126" s="68">
        <f t="shared" si="30"/>
        <v>72876.245999999985</v>
      </c>
      <c r="M126" s="68"/>
      <c r="N126" s="68">
        <f t="shared" si="31"/>
        <v>72876.245999999985</v>
      </c>
      <c r="O126" s="68"/>
      <c r="P126" s="68"/>
      <c r="Q126" s="68">
        <f t="shared" ref="Q126:Q132" si="35">N126*10%</f>
        <v>7287.6245999999992</v>
      </c>
      <c r="R126" s="68">
        <f t="shared" si="32"/>
        <v>14575.249199999998</v>
      </c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109">
        <f t="shared" si="33"/>
        <v>94739.119799999986</v>
      </c>
      <c r="AF126" s="109">
        <f t="shared" si="27"/>
        <v>1136.8694375999999</v>
      </c>
    </row>
    <row r="127" spans="1:32" s="105" customFormat="1" ht="12.75" customHeight="1">
      <c r="A127" s="95">
        <v>68</v>
      </c>
      <c r="B127" s="79" t="s">
        <v>287</v>
      </c>
      <c r="C127" s="79"/>
      <c r="D127" s="320" t="s">
        <v>285</v>
      </c>
      <c r="E127" s="64" t="s">
        <v>840</v>
      </c>
      <c r="F127" s="110">
        <v>1</v>
      </c>
      <c r="G127" s="95">
        <v>3</v>
      </c>
      <c r="H127" s="95">
        <v>25.11</v>
      </c>
      <c r="I127" s="95">
        <v>2.84</v>
      </c>
      <c r="J127" s="68">
        <v>17697</v>
      </c>
      <c r="K127" s="96">
        <v>1.45</v>
      </c>
      <c r="L127" s="68">
        <f t="shared" ref="L127:L132" si="36">J127*F127*I127*K127</f>
        <v>72876.245999999985</v>
      </c>
      <c r="M127" s="68"/>
      <c r="N127" s="68">
        <f t="shared" ref="N127:N132" si="37">L127+M127</f>
        <v>72876.245999999985</v>
      </c>
      <c r="O127" s="68"/>
      <c r="P127" s="68"/>
      <c r="Q127" s="68">
        <f t="shared" si="35"/>
        <v>7287.6245999999992</v>
      </c>
      <c r="R127" s="68">
        <f t="shared" ref="R127:R132" si="38">N127*20%</f>
        <v>14575.249199999998</v>
      </c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109">
        <f t="shared" si="33"/>
        <v>94739.119799999986</v>
      </c>
      <c r="AF127" s="109">
        <f t="shared" si="27"/>
        <v>1136.8694375999999</v>
      </c>
    </row>
    <row r="128" spans="1:32" s="105" customFormat="1" ht="12.75" customHeight="1">
      <c r="A128" s="95">
        <v>68</v>
      </c>
      <c r="B128" s="79" t="s">
        <v>288</v>
      </c>
      <c r="C128" s="79"/>
      <c r="D128" s="320" t="s">
        <v>285</v>
      </c>
      <c r="E128" s="64" t="s">
        <v>840</v>
      </c>
      <c r="F128" s="110">
        <v>1</v>
      </c>
      <c r="G128" s="95">
        <v>3</v>
      </c>
      <c r="H128" s="95">
        <v>12.11</v>
      </c>
      <c r="I128" s="95">
        <v>2.84</v>
      </c>
      <c r="J128" s="68">
        <v>17697</v>
      </c>
      <c r="K128" s="96">
        <v>1.45</v>
      </c>
      <c r="L128" s="68">
        <f t="shared" si="36"/>
        <v>72876.245999999985</v>
      </c>
      <c r="M128" s="68"/>
      <c r="N128" s="68">
        <f t="shared" si="37"/>
        <v>72876.245999999985</v>
      </c>
      <c r="O128" s="68"/>
      <c r="P128" s="68"/>
      <c r="Q128" s="68">
        <f t="shared" si="35"/>
        <v>7287.6245999999992</v>
      </c>
      <c r="R128" s="68">
        <f t="shared" si="38"/>
        <v>14575.249199999998</v>
      </c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109">
        <f t="shared" si="33"/>
        <v>94739.119799999986</v>
      </c>
      <c r="AF128" s="109">
        <f t="shared" si="27"/>
        <v>1136.8694375999999</v>
      </c>
    </row>
    <row r="129" spans="1:32" s="105" customFormat="1" ht="12.75" customHeight="1">
      <c r="A129" s="95">
        <v>68</v>
      </c>
      <c r="B129" s="79" t="s">
        <v>464</v>
      </c>
      <c r="C129" s="79"/>
      <c r="D129" s="104" t="s">
        <v>289</v>
      </c>
      <c r="E129" s="64" t="s">
        <v>840</v>
      </c>
      <c r="F129" s="110">
        <v>1</v>
      </c>
      <c r="G129" s="95">
        <v>3</v>
      </c>
      <c r="H129" s="95">
        <v>8.01</v>
      </c>
      <c r="I129" s="95">
        <v>2.84</v>
      </c>
      <c r="J129" s="68">
        <v>17697</v>
      </c>
      <c r="K129" s="96">
        <v>1.45</v>
      </c>
      <c r="L129" s="68">
        <f t="shared" si="36"/>
        <v>72876.245999999985</v>
      </c>
      <c r="M129" s="68"/>
      <c r="N129" s="68">
        <f t="shared" si="37"/>
        <v>72876.245999999985</v>
      </c>
      <c r="O129" s="68"/>
      <c r="P129" s="68"/>
      <c r="Q129" s="68">
        <f t="shared" si="35"/>
        <v>7287.6245999999992</v>
      </c>
      <c r="R129" s="68">
        <f t="shared" si="38"/>
        <v>14575.249199999998</v>
      </c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109">
        <f t="shared" si="33"/>
        <v>94739.119799999986</v>
      </c>
      <c r="AF129" s="109">
        <f t="shared" si="27"/>
        <v>1136.8694375999999</v>
      </c>
    </row>
    <row r="130" spans="1:32" s="105" customFormat="1" ht="12.75" customHeight="1">
      <c r="A130" s="95">
        <v>68</v>
      </c>
      <c r="B130" s="224" t="s">
        <v>107</v>
      </c>
      <c r="C130" s="292"/>
      <c r="D130" s="104" t="s">
        <v>289</v>
      </c>
      <c r="E130" s="64" t="s">
        <v>840</v>
      </c>
      <c r="F130" s="110">
        <v>1</v>
      </c>
      <c r="G130" s="95">
        <v>3</v>
      </c>
      <c r="H130" s="96">
        <v>0</v>
      </c>
      <c r="I130" s="95">
        <v>2.84</v>
      </c>
      <c r="J130" s="68">
        <v>17697</v>
      </c>
      <c r="K130" s="96">
        <v>1.45</v>
      </c>
      <c r="L130" s="68">
        <f t="shared" si="36"/>
        <v>72876.245999999985</v>
      </c>
      <c r="M130" s="68"/>
      <c r="N130" s="68">
        <f t="shared" si="37"/>
        <v>72876.245999999985</v>
      </c>
      <c r="O130" s="68"/>
      <c r="P130" s="68"/>
      <c r="Q130" s="68">
        <f t="shared" si="35"/>
        <v>7287.6245999999992</v>
      </c>
      <c r="R130" s="68">
        <f t="shared" si="38"/>
        <v>14575.249199999998</v>
      </c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109">
        <f t="shared" si="33"/>
        <v>94739.119799999986</v>
      </c>
      <c r="AF130" s="109">
        <f t="shared" si="27"/>
        <v>1136.8694375999999</v>
      </c>
    </row>
    <row r="131" spans="1:32" s="105" customFormat="1" ht="12.75" customHeight="1">
      <c r="A131" s="95">
        <v>68</v>
      </c>
      <c r="B131" s="79" t="s">
        <v>465</v>
      </c>
      <c r="C131" s="79"/>
      <c r="D131" s="104" t="s">
        <v>291</v>
      </c>
      <c r="E131" s="64" t="s">
        <v>840</v>
      </c>
      <c r="F131" s="110">
        <v>1</v>
      </c>
      <c r="G131" s="95">
        <v>3</v>
      </c>
      <c r="H131" s="96">
        <v>0</v>
      </c>
      <c r="I131" s="95">
        <v>2.84</v>
      </c>
      <c r="J131" s="68">
        <v>17697</v>
      </c>
      <c r="K131" s="96">
        <v>1.45</v>
      </c>
      <c r="L131" s="68">
        <f t="shared" si="36"/>
        <v>72876.245999999985</v>
      </c>
      <c r="M131" s="68"/>
      <c r="N131" s="68">
        <f t="shared" si="37"/>
        <v>72876.245999999985</v>
      </c>
      <c r="O131" s="68"/>
      <c r="P131" s="68"/>
      <c r="Q131" s="68">
        <f t="shared" si="35"/>
        <v>7287.6245999999992</v>
      </c>
      <c r="R131" s="68">
        <f t="shared" si="38"/>
        <v>14575.249199999998</v>
      </c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109">
        <f t="shared" si="33"/>
        <v>94739.119799999986</v>
      </c>
      <c r="AF131" s="109">
        <f t="shared" si="27"/>
        <v>1136.8694375999999</v>
      </c>
    </row>
    <row r="132" spans="1:32" s="105" customFormat="1" ht="12.75" customHeight="1">
      <c r="A132" s="95">
        <v>68</v>
      </c>
      <c r="B132" s="79" t="s">
        <v>292</v>
      </c>
      <c r="C132" s="79"/>
      <c r="D132" s="104" t="s">
        <v>291</v>
      </c>
      <c r="E132" s="64" t="s">
        <v>840</v>
      </c>
      <c r="F132" s="110">
        <v>1</v>
      </c>
      <c r="G132" s="95">
        <v>3</v>
      </c>
      <c r="H132" s="95">
        <v>7.08</v>
      </c>
      <c r="I132" s="95">
        <v>2.84</v>
      </c>
      <c r="J132" s="68">
        <v>17697</v>
      </c>
      <c r="K132" s="96">
        <v>1.45</v>
      </c>
      <c r="L132" s="68">
        <f t="shared" si="36"/>
        <v>72876.245999999985</v>
      </c>
      <c r="M132" s="68"/>
      <c r="N132" s="68">
        <f t="shared" si="37"/>
        <v>72876.245999999985</v>
      </c>
      <c r="O132" s="68"/>
      <c r="P132" s="68"/>
      <c r="Q132" s="68">
        <f t="shared" si="35"/>
        <v>7287.6245999999992</v>
      </c>
      <c r="R132" s="68">
        <f t="shared" si="38"/>
        <v>14575.249199999998</v>
      </c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109">
        <f t="shared" si="33"/>
        <v>94739.119799999986</v>
      </c>
      <c r="AF132" s="109">
        <f t="shared" si="27"/>
        <v>1136.8694375999999</v>
      </c>
    </row>
    <row r="133" spans="1:32" ht="12.75" customHeight="1">
      <c r="A133" s="95">
        <v>68</v>
      </c>
      <c r="B133" s="79" t="s">
        <v>333</v>
      </c>
      <c r="C133" s="79"/>
      <c r="D133" s="104" t="s">
        <v>332</v>
      </c>
      <c r="E133" s="64" t="s">
        <v>840</v>
      </c>
      <c r="F133" s="110">
        <v>1</v>
      </c>
      <c r="G133" s="95">
        <v>3</v>
      </c>
      <c r="H133" s="95">
        <v>17.09</v>
      </c>
      <c r="I133" s="95">
        <v>2.84</v>
      </c>
      <c r="J133" s="68">
        <v>17697</v>
      </c>
      <c r="K133" s="96">
        <v>1.45</v>
      </c>
      <c r="L133" s="68">
        <f t="shared" si="30"/>
        <v>72876.245999999985</v>
      </c>
      <c r="M133" s="68"/>
      <c r="N133" s="68">
        <f t="shared" si="31"/>
        <v>72876.245999999985</v>
      </c>
      <c r="O133" s="68"/>
      <c r="P133" s="68"/>
      <c r="Q133" s="68">
        <f t="shared" si="28"/>
        <v>7287.6245999999992</v>
      </c>
      <c r="R133" s="68">
        <f t="shared" si="32"/>
        <v>14575.249199999998</v>
      </c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109">
        <f t="shared" si="33"/>
        <v>94739.119799999986</v>
      </c>
      <c r="AF133" s="109">
        <f t="shared" si="27"/>
        <v>1136.8694375999999</v>
      </c>
    </row>
    <row r="134" spans="1:32" ht="12.75" customHeight="1">
      <c r="A134" s="95">
        <v>68</v>
      </c>
      <c r="B134" s="79" t="s">
        <v>328</v>
      </c>
      <c r="C134" s="79"/>
      <c r="D134" s="81" t="s">
        <v>329</v>
      </c>
      <c r="E134" s="64" t="s">
        <v>840</v>
      </c>
      <c r="F134" s="110">
        <v>0.5</v>
      </c>
      <c r="G134" s="95">
        <v>3</v>
      </c>
      <c r="H134" s="95">
        <v>18.09</v>
      </c>
      <c r="I134" s="95">
        <v>2.84</v>
      </c>
      <c r="J134" s="68">
        <v>17697</v>
      </c>
      <c r="K134" s="96">
        <v>1.45</v>
      </c>
      <c r="L134" s="68">
        <f>J134*F134*I134*K134</f>
        <v>36438.122999999992</v>
      </c>
      <c r="M134" s="68"/>
      <c r="N134" s="68">
        <f>L134+M134</f>
        <v>36438.122999999992</v>
      </c>
      <c r="O134" s="68"/>
      <c r="P134" s="68"/>
      <c r="Q134" s="68">
        <f>N134*10%</f>
        <v>3643.8122999999996</v>
      </c>
      <c r="R134" s="68">
        <f>N134*20%</f>
        <v>7287.6245999999992</v>
      </c>
      <c r="S134" s="66">
        <f>J134*F134*30%</f>
        <v>2654.5499999999997</v>
      </c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109">
        <f t="shared" si="33"/>
        <v>50024.109899999996</v>
      </c>
      <c r="AF134" s="109">
        <f t="shared" si="27"/>
        <v>600.28931880000005</v>
      </c>
    </row>
    <row r="135" spans="1:32" ht="12.75" customHeight="1">
      <c r="A135" s="95">
        <v>68</v>
      </c>
      <c r="B135" s="79" t="s">
        <v>463</v>
      </c>
      <c r="C135" s="79"/>
      <c r="D135" s="81" t="s">
        <v>327</v>
      </c>
      <c r="E135" s="64" t="s">
        <v>840</v>
      </c>
      <c r="F135" s="110">
        <v>1</v>
      </c>
      <c r="G135" s="95">
        <v>4</v>
      </c>
      <c r="H135" s="96">
        <v>24.05</v>
      </c>
      <c r="I135" s="95">
        <v>2.89</v>
      </c>
      <c r="J135" s="68">
        <v>17697</v>
      </c>
      <c r="K135" s="96">
        <v>1.45</v>
      </c>
      <c r="L135" s="68">
        <f>J135*F135*I135*K135</f>
        <v>74159.2785</v>
      </c>
      <c r="M135" s="68"/>
      <c r="N135" s="68">
        <f>L135+M135</f>
        <v>74159.2785</v>
      </c>
      <c r="O135" s="68"/>
      <c r="P135" s="68"/>
      <c r="Q135" s="68">
        <f>N135*10%</f>
        <v>7415.92785</v>
      </c>
      <c r="R135" s="68">
        <f>N135*20%</f>
        <v>14831.8557</v>
      </c>
      <c r="S135" s="66">
        <f>J135*F135*30%</f>
        <v>5309.0999999999995</v>
      </c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109">
        <f t="shared" si="33"/>
        <v>101716.16205</v>
      </c>
      <c r="AF135" s="109">
        <f t="shared" si="27"/>
        <v>1220.5939446</v>
      </c>
    </row>
    <row r="136" spans="1:32" ht="12.75" customHeight="1">
      <c r="A136" s="95">
        <v>68</v>
      </c>
      <c r="B136" s="79" t="s">
        <v>328</v>
      </c>
      <c r="C136" s="79"/>
      <c r="D136" s="81" t="s">
        <v>327</v>
      </c>
      <c r="E136" s="64" t="s">
        <v>840</v>
      </c>
      <c r="F136" s="110">
        <v>0.5</v>
      </c>
      <c r="G136" s="95">
        <v>4</v>
      </c>
      <c r="H136" s="95">
        <v>18.09</v>
      </c>
      <c r="I136" s="95">
        <v>2.89</v>
      </c>
      <c r="J136" s="68">
        <v>17697</v>
      </c>
      <c r="K136" s="96">
        <v>1.45</v>
      </c>
      <c r="L136" s="68">
        <f>J136*F136*I136*K136</f>
        <v>37079.63925</v>
      </c>
      <c r="M136" s="68"/>
      <c r="N136" s="68">
        <f>L136+M136</f>
        <v>37079.63925</v>
      </c>
      <c r="O136" s="68"/>
      <c r="P136" s="68"/>
      <c r="Q136" s="68">
        <f>N136*10%</f>
        <v>3707.963925</v>
      </c>
      <c r="R136" s="68">
        <f>N136*20%</f>
        <v>7415.92785</v>
      </c>
      <c r="S136" s="66">
        <f>J136*F136*30%</f>
        <v>2654.5499999999997</v>
      </c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109">
        <f t="shared" si="33"/>
        <v>50858.081024999999</v>
      </c>
      <c r="AF136" s="109">
        <f t="shared" si="27"/>
        <v>610.29697229999999</v>
      </c>
    </row>
    <row r="137" spans="1:32" ht="12.75" customHeight="1" thickBot="1">
      <c r="A137" s="95">
        <v>68</v>
      </c>
      <c r="B137" s="104" t="s">
        <v>335</v>
      </c>
      <c r="C137" s="104"/>
      <c r="D137" s="112" t="s">
        <v>334</v>
      </c>
      <c r="E137" s="64" t="s">
        <v>840</v>
      </c>
      <c r="F137" s="110">
        <v>1</v>
      </c>
      <c r="G137" s="95">
        <v>4</v>
      </c>
      <c r="H137" s="95">
        <v>9.0399999999999991</v>
      </c>
      <c r="I137" s="95">
        <v>2.89</v>
      </c>
      <c r="J137" s="68">
        <v>17697</v>
      </c>
      <c r="K137" s="96">
        <v>1.45</v>
      </c>
      <c r="L137" s="68">
        <f t="shared" si="30"/>
        <v>74159.2785</v>
      </c>
      <c r="M137" s="68"/>
      <c r="N137" s="68">
        <f t="shared" si="31"/>
        <v>74159.2785</v>
      </c>
      <c r="O137" s="68"/>
      <c r="P137" s="68"/>
      <c r="Q137" s="68">
        <f t="shared" si="28"/>
        <v>7415.92785</v>
      </c>
      <c r="R137" s="68">
        <f t="shared" si="32"/>
        <v>14831.8557</v>
      </c>
      <c r="S137" s="66"/>
      <c r="T137" s="66"/>
      <c r="U137" s="66">
        <v>6194</v>
      </c>
      <c r="V137" s="66"/>
      <c r="W137" s="66"/>
      <c r="X137" s="66"/>
      <c r="Y137" s="66"/>
      <c r="Z137" s="66"/>
      <c r="AA137" s="66"/>
      <c r="AB137" s="66"/>
      <c r="AC137" s="66"/>
      <c r="AD137" s="66"/>
      <c r="AE137" s="109">
        <f t="shared" si="33"/>
        <v>102601.06204999999</v>
      </c>
      <c r="AF137" s="109">
        <f t="shared" si="27"/>
        <v>1231.2127446</v>
      </c>
    </row>
    <row r="138" spans="1:32" ht="15.75" thickBot="1">
      <c r="A138" s="364"/>
      <c r="B138" s="374" t="s">
        <v>380</v>
      </c>
      <c r="C138" s="375"/>
      <c r="D138" s="376"/>
      <c r="E138" s="377"/>
      <c r="F138" s="378">
        <f>SUM(F84:F137)</f>
        <v>52</v>
      </c>
      <c r="G138" s="378"/>
      <c r="H138" s="378"/>
      <c r="I138" s="378"/>
      <c r="J138" s="378"/>
      <c r="K138" s="378"/>
      <c r="L138" s="378">
        <f>SUM(L84:L137)</f>
        <v>3748892.6617500004</v>
      </c>
      <c r="M138" s="378">
        <f>SUM(M84:M137)</f>
        <v>0</v>
      </c>
      <c r="N138" s="378">
        <f>SUM(N84:N137)</f>
        <v>3748892.6617500004</v>
      </c>
      <c r="O138" s="378"/>
      <c r="P138" s="378"/>
      <c r="Q138" s="378">
        <f t="shared" ref="Q138:AF138" si="39">SUM(Q84:Q137)</f>
        <v>374889.26617499953</v>
      </c>
      <c r="R138" s="378">
        <f t="shared" si="39"/>
        <v>749778.53234999906</v>
      </c>
      <c r="S138" s="378">
        <f t="shared" si="39"/>
        <v>178739.70000000007</v>
      </c>
      <c r="T138" s="378">
        <f t="shared" si="39"/>
        <v>0</v>
      </c>
      <c r="U138" s="378">
        <f t="shared" si="39"/>
        <v>6194</v>
      </c>
      <c r="V138" s="378">
        <f t="shared" si="39"/>
        <v>62016</v>
      </c>
      <c r="W138" s="378">
        <f t="shared" si="39"/>
        <v>63426</v>
      </c>
      <c r="X138" s="378">
        <f t="shared" si="39"/>
        <v>0</v>
      </c>
      <c r="Y138" s="378">
        <f t="shared" si="39"/>
        <v>0</v>
      </c>
      <c r="Z138" s="378">
        <f t="shared" si="39"/>
        <v>0</v>
      </c>
      <c r="AA138" s="378">
        <f t="shared" si="39"/>
        <v>0</v>
      </c>
      <c r="AB138" s="378">
        <f t="shared" si="39"/>
        <v>0</v>
      </c>
      <c r="AC138" s="378">
        <f t="shared" si="39"/>
        <v>0</v>
      </c>
      <c r="AD138" s="378">
        <f t="shared" si="39"/>
        <v>0</v>
      </c>
      <c r="AE138" s="378">
        <f t="shared" si="39"/>
        <v>5183936.1602749974</v>
      </c>
      <c r="AF138" s="378">
        <f t="shared" si="39"/>
        <v>62207.233923299988</v>
      </c>
    </row>
    <row r="141" spans="1:32" ht="15.75">
      <c r="B141" s="321" t="s">
        <v>336</v>
      </c>
      <c r="C141" s="321"/>
      <c r="D141" s="322">
        <v>2</v>
      </c>
      <c r="E141" s="323"/>
      <c r="F141" s="428"/>
      <c r="G141" s="324"/>
      <c r="H141" s="325"/>
      <c r="I141" s="77"/>
    </row>
    <row r="142" spans="1:32" ht="48" customHeight="1">
      <c r="B142" s="326" t="s">
        <v>337</v>
      </c>
      <c r="C142" s="326"/>
      <c r="D142" s="322">
        <v>8389.7000000000007</v>
      </c>
      <c r="E142" s="541" t="s">
        <v>338</v>
      </c>
      <c r="F142" s="542"/>
      <c r="G142" s="543"/>
      <c r="H142" s="544"/>
      <c r="I142" s="77"/>
    </row>
    <row r="145" spans="2:8" ht="51" customHeight="1">
      <c r="B145" s="188" t="s">
        <v>196</v>
      </c>
      <c r="C145" s="188"/>
      <c r="D145" s="92"/>
      <c r="E145" s="545" t="s">
        <v>381</v>
      </c>
      <c r="F145" s="546"/>
      <c r="G145" s="204"/>
      <c r="H145" s="204"/>
    </row>
    <row r="146" spans="2:8" ht="15.75">
      <c r="B146" s="327"/>
      <c r="C146" s="327"/>
      <c r="D146" s="92"/>
      <c r="E146" s="328"/>
      <c r="F146" s="204"/>
      <c r="G146" s="204"/>
      <c r="H146" s="204"/>
    </row>
    <row r="147" spans="2:8" ht="47.25">
      <c r="B147" s="188" t="s">
        <v>382</v>
      </c>
      <c r="C147" s="188"/>
      <c r="D147" s="92"/>
      <c r="E147" s="545" t="s">
        <v>383</v>
      </c>
      <c r="F147" s="546"/>
      <c r="G147" s="546"/>
      <c r="H147" s="204"/>
    </row>
    <row r="148" spans="2:8" ht="15.75">
      <c r="B148" s="329"/>
      <c r="C148" s="329"/>
      <c r="D148" s="92"/>
      <c r="E148" s="328"/>
      <c r="F148" s="204"/>
      <c r="G148" s="204"/>
      <c r="H148" s="204"/>
    </row>
  </sheetData>
  <mergeCells count="26">
    <mergeCell ref="A8:AF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E9:AE10"/>
    <mergeCell ref="AF9:AF10"/>
    <mergeCell ref="L9:L10"/>
    <mergeCell ref="M9:M10"/>
    <mergeCell ref="N9:N10"/>
    <mergeCell ref="Q9:W9"/>
    <mergeCell ref="B49:D49"/>
    <mergeCell ref="B77:D77"/>
    <mergeCell ref="B83:D83"/>
    <mergeCell ref="J9:J10"/>
    <mergeCell ref="K9:K10"/>
    <mergeCell ref="E142:F142"/>
    <mergeCell ref="G142:H142"/>
    <mergeCell ref="E145:F145"/>
    <mergeCell ref="E147:G147"/>
    <mergeCell ref="Z9:AD9"/>
  </mergeCells>
  <pageMargins left="0" right="0" top="0.19685039370078741" bottom="0.19685039370078741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49"/>
  <sheetViews>
    <sheetView topLeftCell="A19" zoomScaleSheetLayoutView="90" workbookViewId="0">
      <selection activeCell="A8" sqref="A8:AE8"/>
    </sheetView>
  </sheetViews>
  <sheetFormatPr defaultColWidth="6.140625" defaultRowHeight="12.75"/>
  <cols>
    <col min="1" max="1" width="4.140625" style="77" customWidth="1"/>
    <col min="2" max="2" width="21.28515625" style="293" customWidth="1"/>
    <col min="3" max="3" width="33.5703125" style="330" customWidth="1"/>
    <col min="4" max="4" width="9.28515625" style="294" customWidth="1"/>
    <col min="5" max="5" width="6.28515625" style="77" customWidth="1"/>
    <col min="6" max="6" width="5.7109375" style="77" customWidth="1"/>
    <col min="7" max="7" width="5.85546875" style="77" customWidth="1"/>
    <col min="8" max="8" width="5.5703125" style="77" customWidth="1"/>
    <col min="9" max="9" width="7.140625" style="296" customWidth="1"/>
    <col min="10" max="10" width="5" style="77" customWidth="1"/>
    <col min="11" max="11" width="9.85546875" style="296" customWidth="1"/>
    <col min="12" max="12" width="9.42578125" style="296" customWidth="1"/>
    <col min="13" max="13" width="10" style="296" customWidth="1"/>
    <col min="14" max="14" width="5.28515625" style="296" customWidth="1"/>
    <col min="15" max="15" width="10" style="296" customWidth="1"/>
    <col min="16" max="16" width="8.42578125" style="296" customWidth="1"/>
    <col min="17" max="17" width="7.85546875" style="296" customWidth="1"/>
    <col min="18" max="18" width="7.5703125" style="296" customWidth="1"/>
    <col min="19" max="19" width="7.28515625" style="296" customWidth="1"/>
    <col min="20" max="20" width="6.140625" style="296" customWidth="1"/>
    <col min="21" max="21" width="7.5703125" style="296" customWidth="1"/>
    <col min="22" max="22" width="6.42578125" style="296" customWidth="1"/>
    <col min="23" max="23" width="6.5703125" style="296" customWidth="1"/>
    <col min="24" max="24" width="5.42578125" style="296" customWidth="1"/>
    <col min="25" max="25" width="7.28515625" style="296" customWidth="1"/>
    <col min="26" max="26" width="8.7109375" style="296" customWidth="1"/>
    <col min="27" max="27" width="7.140625" style="296" customWidth="1"/>
    <col min="28" max="28" width="4.42578125" style="296" customWidth="1"/>
    <col min="29" max="29" width="8" style="296" customWidth="1"/>
    <col min="30" max="30" width="9.42578125" style="296" customWidth="1"/>
    <col min="31" max="31" width="9.28515625" style="296" customWidth="1"/>
    <col min="32" max="16384" width="6.140625" style="77"/>
  </cols>
  <sheetData>
    <row r="2" spans="1:37" ht="14.25" customHeight="1">
      <c r="B2" s="92"/>
      <c r="C2" s="293"/>
      <c r="E2" s="295"/>
      <c r="F2" s="296"/>
      <c r="I2" s="77"/>
      <c r="Y2" s="298" t="s">
        <v>0</v>
      </c>
      <c r="Z2" s="299"/>
      <c r="AA2" s="299"/>
      <c r="AB2" s="299"/>
      <c r="AF2" s="298"/>
      <c r="AG2" s="299"/>
      <c r="AH2" s="299"/>
      <c r="AI2" s="299"/>
      <c r="AJ2" s="296"/>
      <c r="AK2" s="296"/>
    </row>
    <row r="3" spans="1:37" ht="14.25" customHeight="1">
      <c r="B3" s="92"/>
      <c r="C3" s="293"/>
      <c r="E3" s="295"/>
      <c r="F3" s="296"/>
      <c r="I3" s="77"/>
      <c r="S3" s="492"/>
      <c r="T3" s="492"/>
      <c r="U3" s="492"/>
      <c r="V3" s="492"/>
      <c r="W3" s="492"/>
      <c r="X3" s="492"/>
      <c r="Y3" s="470" t="s">
        <v>849</v>
      </c>
      <c r="Z3" s="493"/>
      <c r="AA3" s="299"/>
      <c r="AB3" s="299"/>
      <c r="AF3" s="300"/>
      <c r="AG3" s="299"/>
      <c r="AH3" s="299"/>
      <c r="AI3" s="299"/>
      <c r="AJ3" s="296"/>
      <c r="AK3" s="296"/>
    </row>
    <row r="4" spans="1:37" ht="14.25" customHeight="1">
      <c r="B4" s="92"/>
      <c r="C4" s="293"/>
      <c r="E4" s="295"/>
      <c r="F4" s="296"/>
      <c r="I4" s="77"/>
      <c r="Y4" s="471" t="s">
        <v>850</v>
      </c>
      <c r="Z4" s="204"/>
      <c r="AA4" s="204"/>
      <c r="AB4" s="204"/>
      <c r="AF4" s="298"/>
      <c r="AG4" s="204"/>
      <c r="AH4" s="204"/>
      <c r="AI4" s="204"/>
      <c r="AJ4" s="296"/>
      <c r="AK4" s="296"/>
    </row>
    <row r="5" spans="1:37" ht="18" customHeight="1">
      <c r="B5" s="92"/>
      <c r="C5" s="293"/>
      <c r="E5" s="295"/>
      <c r="F5" s="296"/>
      <c r="I5" s="77"/>
      <c r="Y5" s="298" t="s">
        <v>837</v>
      </c>
      <c r="Z5" s="204"/>
      <c r="AA5" s="204"/>
      <c r="AB5" s="204"/>
      <c r="AF5" s="298"/>
      <c r="AG5" s="204"/>
      <c r="AH5" s="204"/>
      <c r="AI5" s="204"/>
      <c r="AJ5" s="296"/>
      <c r="AK5" s="296"/>
    </row>
    <row r="6" spans="1:37" ht="14.25" customHeight="1">
      <c r="B6" s="92"/>
      <c r="C6" s="293"/>
      <c r="E6" s="295"/>
      <c r="F6" s="296"/>
      <c r="I6" s="77"/>
      <c r="Z6" s="93"/>
    </row>
    <row r="7" spans="1:37" ht="13.5" customHeight="1">
      <c r="B7" s="92"/>
      <c r="C7" s="293"/>
      <c r="E7" s="295"/>
      <c r="F7" s="296"/>
      <c r="I7" s="77"/>
      <c r="Z7" s="93"/>
    </row>
    <row r="8" spans="1:37" ht="39.6" customHeight="1">
      <c r="A8" s="572" t="s">
        <v>848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61"/>
      <c r="P8" s="561"/>
      <c r="Q8" s="561"/>
      <c r="R8" s="561"/>
      <c r="S8" s="561"/>
      <c r="T8" s="561"/>
      <c r="U8" s="561"/>
      <c r="V8" s="561"/>
      <c r="W8" s="561"/>
      <c r="X8" s="561"/>
      <c r="Y8" s="561"/>
      <c r="Z8" s="561"/>
      <c r="AA8" s="561"/>
      <c r="AB8" s="561"/>
      <c r="AC8" s="561"/>
      <c r="AD8" s="561"/>
      <c r="AE8" s="561"/>
    </row>
    <row r="9" spans="1:37" s="94" customFormat="1" ht="28.5" customHeight="1">
      <c r="A9" s="559" t="s">
        <v>10</v>
      </c>
      <c r="B9" s="559" t="s">
        <v>180</v>
      </c>
      <c r="C9" s="559" t="s">
        <v>179</v>
      </c>
      <c r="D9" s="559" t="s">
        <v>181</v>
      </c>
      <c r="E9" s="559" t="s">
        <v>384</v>
      </c>
      <c r="F9" s="559" t="s">
        <v>14</v>
      </c>
      <c r="G9" s="559" t="s">
        <v>182</v>
      </c>
      <c r="H9" s="559" t="s">
        <v>183</v>
      </c>
      <c r="I9" s="557" t="s">
        <v>16</v>
      </c>
      <c r="J9" s="559" t="s">
        <v>184</v>
      </c>
      <c r="K9" s="557" t="s">
        <v>185</v>
      </c>
      <c r="L9" s="557" t="s">
        <v>186</v>
      </c>
      <c r="M9" s="557" t="s">
        <v>22</v>
      </c>
      <c r="N9" s="568" t="s">
        <v>841</v>
      </c>
      <c r="O9" s="570" t="s">
        <v>22</v>
      </c>
      <c r="P9" s="564" t="s">
        <v>31</v>
      </c>
      <c r="Q9" s="565"/>
      <c r="R9" s="565"/>
      <c r="S9" s="565"/>
      <c r="T9" s="565"/>
      <c r="U9" s="565"/>
      <c r="V9" s="565"/>
      <c r="W9" s="456"/>
      <c r="X9" s="456"/>
      <c r="Y9" s="547" t="s">
        <v>31</v>
      </c>
      <c r="Z9" s="547"/>
      <c r="AA9" s="547"/>
      <c r="AB9" s="547"/>
      <c r="AC9" s="547"/>
      <c r="AD9" s="557" t="s">
        <v>32</v>
      </c>
      <c r="AE9" s="557" t="s">
        <v>33</v>
      </c>
    </row>
    <row r="10" spans="1:37" s="94" customFormat="1" ht="129" customHeight="1">
      <c r="A10" s="560"/>
      <c r="B10" s="560"/>
      <c r="C10" s="560"/>
      <c r="D10" s="560"/>
      <c r="E10" s="560"/>
      <c r="F10" s="560"/>
      <c r="G10" s="560"/>
      <c r="H10" s="560"/>
      <c r="I10" s="558"/>
      <c r="J10" s="560"/>
      <c r="K10" s="558"/>
      <c r="L10" s="558"/>
      <c r="M10" s="558"/>
      <c r="N10" s="569"/>
      <c r="O10" s="571"/>
      <c r="P10" s="460">
        <v>0.1</v>
      </c>
      <c r="Q10" s="460" t="s">
        <v>187</v>
      </c>
      <c r="R10" s="454" t="s">
        <v>188</v>
      </c>
      <c r="S10" s="454" t="s">
        <v>803</v>
      </c>
      <c r="T10" s="454" t="s">
        <v>189</v>
      </c>
      <c r="U10" s="454" t="s">
        <v>190</v>
      </c>
      <c r="V10" s="454" t="s">
        <v>191</v>
      </c>
      <c r="W10" s="455" t="s">
        <v>442</v>
      </c>
      <c r="X10" s="455" t="s">
        <v>443</v>
      </c>
      <c r="Y10" s="455" t="s">
        <v>36</v>
      </c>
      <c r="Z10" s="455" t="s">
        <v>37</v>
      </c>
      <c r="AA10" s="455" t="s">
        <v>38</v>
      </c>
      <c r="AB10" s="455" t="s">
        <v>39</v>
      </c>
      <c r="AC10" s="455" t="s">
        <v>192</v>
      </c>
      <c r="AD10" s="558"/>
      <c r="AE10" s="558"/>
    </row>
    <row r="11" spans="1:37" s="105" customFormat="1" ht="12.75" customHeight="1">
      <c r="A11" s="95">
        <v>1</v>
      </c>
      <c r="B11" s="95">
        <v>3</v>
      </c>
      <c r="C11" s="95">
        <v>2</v>
      </c>
      <c r="D11" s="95">
        <v>4</v>
      </c>
      <c r="E11" s="95">
        <v>5</v>
      </c>
      <c r="F11" s="95">
        <v>6</v>
      </c>
      <c r="G11" s="95">
        <v>7</v>
      </c>
      <c r="H11" s="95">
        <v>8</v>
      </c>
      <c r="I11" s="95">
        <v>9</v>
      </c>
      <c r="J11" s="95">
        <v>10</v>
      </c>
      <c r="K11" s="95">
        <v>11</v>
      </c>
      <c r="L11" s="95">
        <v>12</v>
      </c>
      <c r="M11" s="95">
        <v>13</v>
      </c>
      <c r="N11" s="95"/>
      <c r="O11" s="95"/>
      <c r="P11" s="95">
        <v>14</v>
      </c>
      <c r="Q11" s="95">
        <v>15</v>
      </c>
      <c r="R11" s="95">
        <v>16</v>
      </c>
      <c r="S11" s="95">
        <v>17</v>
      </c>
      <c r="T11" s="95">
        <v>18</v>
      </c>
      <c r="U11" s="95">
        <v>19</v>
      </c>
      <c r="V11" s="95">
        <v>20</v>
      </c>
      <c r="W11" s="95">
        <v>21</v>
      </c>
      <c r="X11" s="95">
        <v>22</v>
      </c>
      <c r="Y11" s="95">
        <v>23</v>
      </c>
      <c r="Z11" s="95">
        <v>24</v>
      </c>
      <c r="AA11" s="95">
        <v>25</v>
      </c>
      <c r="AB11" s="95">
        <v>26</v>
      </c>
      <c r="AC11" s="95">
        <v>27</v>
      </c>
      <c r="AD11" s="95">
        <v>28</v>
      </c>
      <c r="AE11" s="95">
        <v>29</v>
      </c>
    </row>
    <row r="12" spans="1:37" s="105" customFormat="1">
      <c r="A12" s="362"/>
      <c r="B12" s="53" t="s">
        <v>47</v>
      </c>
      <c r="C12" s="53"/>
      <c r="D12" s="54"/>
      <c r="E12" s="363">
        <f>+E21+E49+E77+E83+E138</f>
        <v>115.75</v>
      </c>
      <c r="F12" s="364"/>
      <c r="G12" s="56"/>
      <c r="H12" s="365"/>
      <c r="I12" s="58"/>
      <c r="J12" s="365"/>
      <c r="K12" s="55">
        <f>+K21+K49+K77+K83+K138</f>
        <v>12234077.675999999</v>
      </c>
      <c r="L12" s="55">
        <f>+L21+L49+L77+L83+L138</f>
        <v>1921175.2593749999</v>
      </c>
      <c r="M12" s="55">
        <f>+M21+M49+M77+M83+M138</f>
        <v>14155252.935374999</v>
      </c>
      <c r="N12" s="55"/>
      <c r="O12" s="55">
        <f t="shared" ref="O12:AE12" si="0">+O21+O49+O77+O83+O138</f>
        <v>14359786.012875</v>
      </c>
      <c r="P12" s="55">
        <f>+P21+P49+P77+P83+P138</f>
        <v>1415525.2935374998</v>
      </c>
      <c r="Q12" s="55">
        <f t="shared" si="0"/>
        <v>2831050.5870749997</v>
      </c>
      <c r="R12" s="55">
        <f t="shared" si="0"/>
        <v>187588.20000000007</v>
      </c>
      <c r="S12" s="55">
        <f t="shared" si="0"/>
        <v>67425.569999999992</v>
      </c>
      <c r="T12" s="55">
        <f t="shared" si="0"/>
        <v>6194</v>
      </c>
      <c r="U12" s="55">
        <f t="shared" si="0"/>
        <v>85569.59</v>
      </c>
      <c r="V12" s="55">
        <f t="shared" si="0"/>
        <v>87514.33</v>
      </c>
      <c r="W12" s="55">
        <f t="shared" si="0"/>
        <v>10618</v>
      </c>
      <c r="X12" s="55">
        <f t="shared" si="0"/>
        <v>0</v>
      </c>
      <c r="Y12" s="55">
        <f t="shared" si="0"/>
        <v>177323.93999999994</v>
      </c>
      <c r="Z12" s="55">
        <f t="shared" si="0"/>
        <v>289876.86</v>
      </c>
      <c r="AA12" s="55">
        <f t="shared" si="0"/>
        <v>125560.215</v>
      </c>
      <c r="AB12" s="55">
        <f t="shared" si="0"/>
        <v>0</v>
      </c>
      <c r="AC12" s="55">
        <f t="shared" si="0"/>
        <v>903874.27500000002</v>
      </c>
      <c r="AD12" s="55">
        <f t="shared" si="0"/>
        <v>20547906.873487495</v>
      </c>
      <c r="AE12" s="55">
        <f t="shared" si="0"/>
        <v>246574.88248184999</v>
      </c>
    </row>
    <row r="13" spans="1:37" s="105" customFormat="1" ht="14.25" customHeight="1">
      <c r="A13" s="95">
        <v>1</v>
      </c>
      <c r="B13" s="101" t="s">
        <v>107</v>
      </c>
      <c r="C13" s="302" t="s">
        <v>193</v>
      </c>
      <c r="D13" s="63" t="s">
        <v>50</v>
      </c>
      <c r="E13" s="303">
        <v>1</v>
      </c>
      <c r="F13" s="304" t="s">
        <v>195</v>
      </c>
      <c r="G13" s="315">
        <v>34.01</v>
      </c>
      <c r="H13" s="110">
        <v>6.22</v>
      </c>
      <c r="I13" s="68">
        <v>17697</v>
      </c>
      <c r="J13" s="96">
        <v>2</v>
      </c>
      <c r="K13" s="68">
        <f>I13*E13*H13*J13</f>
        <v>220150.68</v>
      </c>
      <c r="L13" s="68">
        <f>K13*25%</f>
        <v>55037.67</v>
      </c>
      <c r="M13" s="68">
        <f>K13+L13</f>
        <v>275188.34999999998</v>
      </c>
      <c r="N13" s="68"/>
      <c r="O13" s="68">
        <f>M13</f>
        <v>275188.34999999998</v>
      </c>
      <c r="P13" s="68">
        <f>O13*10%</f>
        <v>27518.834999999999</v>
      </c>
      <c r="Q13" s="68">
        <f>O13*20%</f>
        <v>55037.67</v>
      </c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109">
        <f>SUM(O13:AC13)</f>
        <v>357744.85499999998</v>
      </c>
      <c r="AE13" s="109">
        <f>(AD13*12)/1000</f>
        <v>4292.9382599999999</v>
      </c>
    </row>
    <row r="14" spans="1:37" s="105" customFormat="1" ht="14.25" customHeight="1">
      <c r="A14" s="95">
        <v>2</v>
      </c>
      <c r="B14" s="79" t="s">
        <v>197</v>
      </c>
      <c r="C14" s="467" t="s">
        <v>845</v>
      </c>
      <c r="D14" s="63" t="s">
        <v>50</v>
      </c>
      <c r="E14" s="95">
        <v>1</v>
      </c>
      <c r="F14" s="304" t="s">
        <v>198</v>
      </c>
      <c r="G14" s="214">
        <v>21.11</v>
      </c>
      <c r="H14" s="96">
        <v>5.74</v>
      </c>
      <c r="I14" s="68">
        <v>17697</v>
      </c>
      <c r="J14" s="96">
        <v>2</v>
      </c>
      <c r="K14" s="68">
        <f t="shared" ref="K14:K20" si="1">I14*E14*H14*J14</f>
        <v>203161.56</v>
      </c>
      <c r="L14" s="68">
        <f t="shared" ref="L14:L73" si="2">K14*25%</f>
        <v>50790.39</v>
      </c>
      <c r="M14" s="68">
        <f t="shared" ref="M14:M20" si="3">K14+L14</f>
        <v>253951.95</v>
      </c>
      <c r="N14" s="68"/>
      <c r="O14" s="68">
        <f t="shared" ref="O14:O20" si="4">M14</f>
        <v>253951.95</v>
      </c>
      <c r="P14" s="68">
        <f t="shared" ref="P14:P28" si="5">O14*10%</f>
        <v>25395.195000000003</v>
      </c>
      <c r="Q14" s="68">
        <f t="shared" ref="Q14:Q20" si="6">O14*20%</f>
        <v>50790.390000000007</v>
      </c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>
        <f>M14*50%</f>
        <v>126975.97500000001</v>
      </c>
      <c r="AD14" s="109">
        <f t="shared" ref="AD14:AD79" si="7">SUM(O14:AC14)</f>
        <v>457113.51</v>
      </c>
      <c r="AE14" s="109">
        <f t="shared" ref="AE14:AE79" si="8">(AD14*12)/1000</f>
        <v>5485.3621199999998</v>
      </c>
    </row>
    <row r="15" spans="1:37" s="105" customFormat="1" ht="14.25" customHeight="1">
      <c r="A15" s="95">
        <v>3</v>
      </c>
      <c r="B15" s="79" t="s">
        <v>199</v>
      </c>
      <c r="C15" s="467" t="s">
        <v>845</v>
      </c>
      <c r="D15" s="63" t="s">
        <v>50</v>
      </c>
      <c r="E15" s="95">
        <v>1</v>
      </c>
      <c r="F15" s="304" t="s">
        <v>198</v>
      </c>
      <c r="G15" s="314">
        <v>24.05</v>
      </c>
      <c r="H15" s="96">
        <v>5.74</v>
      </c>
      <c r="I15" s="68">
        <v>17697</v>
      </c>
      <c r="J15" s="96">
        <v>2</v>
      </c>
      <c r="K15" s="68">
        <f t="shared" si="1"/>
        <v>203161.56</v>
      </c>
      <c r="L15" s="68">
        <f t="shared" si="2"/>
        <v>50790.39</v>
      </c>
      <c r="M15" s="68">
        <f t="shared" si="3"/>
        <v>253951.95</v>
      </c>
      <c r="N15" s="68"/>
      <c r="O15" s="68">
        <f t="shared" si="4"/>
        <v>253951.95</v>
      </c>
      <c r="P15" s="68">
        <f t="shared" si="5"/>
        <v>25395.195000000003</v>
      </c>
      <c r="Q15" s="68">
        <f t="shared" si="6"/>
        <v>50790.390000000007</v>
      </c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>
        <f>M15*50%</f>
        <v>126975.97500000001</v>
      </c>
      <c r="AD15" s="109">
        <f t="shared" si="7"/>
        <v>457113.51</v>
      </c>
      <c r="AE15" s="109">
        <f t="shared" si="8"/>
        <v>5485.3621199999998</v>
      </c>
    </row>
    <row r="16" spans="1:37" s="105" customFormat="1" ht="14.25" customHeight="1">
      <c r="A16" s="95">
        <v>4</v>
      </c>
      <c r="B16" s="79" t="s">
        <v>200</v>
      </c>
      <c r="C16" s="467" t="s">
        <v>845</v>
      </c>
      <c r="D16" s="63" t="s">
        <v>50</v>
      </c>
      <c r="E16" s="303">
        <v>1</v>
      </c>
      <c r="F16" s="304" t="s">
        <v>198</v>
      </c>
      <c r="G16" s="67">
        <v>33.07</v>
      </c>
      <c r="H16" s="96">
        <v>5.91</v>
      </c>
      <c r="I16" s="68">
        <v>17697</v>
      </c>
      <c r="J16" s="96">
        <v>2</v>
      </c>
      <c r="K16" s="68">
        <f t="shared" si="1"/>
        <v>209178.54</v>
      </c>
      <c r="L16" s="68">
        <f t="shared" si="2"/>
        <v>52294.635000000002</v>
      </c>
      <c r="M16" s="68">
        <f t="shared" si="3"/>
        <v>261473.17500000002</v>
      </c>
      <c r="N16" s="68"/>
      <c r="O16" s="68">
        <f t="shared" si="4"/>
        <v>261473.17500000002</v>
      </c>
      <c r="P16" s="68">
        <f t="shared" si="5"/>
        <v>26147.317500000005</v>
      </c>
      <c r="Q16" s="68">
        <f t="shared" si="6"/>
        <v>52294.635000000009</v>
      </c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>
        <f>M16*50%</f>
        <v>130736.58750000001</v>
      </c>
      <c r="AD16" s="109">
        <f t="shared" si="7"/>
        <v>470651.71500000008</v>
      </c>
      <c r="AE16" s="109">
        <f t="shared" si="8"/>
        <v>5647.8205800000014</v>
      </c>
    </row>
    <row r="17" spans="1:31" s="105" customFormat="1" ht="26.25" customHeight="1">
      <c r="A17" s="95">
        <v>5</v>
      </c>
      <c r="B17" s="79" t="s">
        <v>48</v>
      </c>
      <c r="C17" s="309" t="s">
        <v>201</v>
      </c>
      <c r="D17" s="63" t="s">
        <v>50</v>
      </c>
      <c r="E17" s="95">
        <v>1</v>
      </c>
      <c r="F17" s="304" t="s">
        <v>198</v>
      </c>
      <c r="G17" s="214">
        <v>26.11</v>
      </c>
      <c r="H17" s="96">
        <v>5.91</v>
      </c>
      <c r="I17" s="68">
        <v>17697</v>
      </c>
      <c r="J17" s="96">
        <v>2</v>
      </c>
      <c r="K17" s="68">
        <f t="shared" si="1"/>
        <v>209178.54</v>
      </c>
      <c r="L17" s="68">
        <f t="shared" si="2"/>
        <v>52294.635000000002</v>
      </c>
      <c r="M17" s="68">
        <f t="shared" si="3"/>
        <v>261473.17500000002</v>
      </c>
      <c r="N17" s="68"/>
      <c r="O17" s="68">
        <f t="shared" si="4"/>
        <v>261473.17500000002</v>
      </c>
      <c r="P17" s="68">
        <f t="shared" si="5"/>
        <v>26147.317500000005</v>
      </c>
      <c r="Q17" s="68">
        <f t="shared" si="6"/>
        <v>52294.635000000009</v>
      </c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>
        <f>M17*100%</f>
        <v>261473.17500000002</v>
      </c>
      <c r="AD17" s="109">
        <f t="shared" si="7"/>
        <v>601388.30250000011</v>
      </c>
      <c r="AE17" s="109">
        <f t="shared" si="8"/>
        <v>7216.659630000001</v>
      </c>
    </row>
    <row r="18" spans="1:31" s="105" customFormat="1" ht="14.25" customHeight="1">
      <c r="A18" s="95">
        <v>6</v>
      </c>
      <c r="B18" s="79" t="s">
        <v>202</v>
      </c>
      <c r="C18" s="467" t="s">
        <v>846</v>
      </c>
      <c r="D18" s="63" t="s">
        <v>50</v>
      </c>
      <c r="E18" s="95">
        <v>1</v>
      </c>
      <c r="F18" s="52" t="s">
        <v>198</v>
      </c>
      <c r="G18" s="214">
        <v>38.1</v>
      </c>
      <c r="H18" s="96">
        <v>5.91</v>
      </c>
      <c r="I18" s="68">
        <v>17697</v>
      </c>
      <c r="J18" s="96">
        <v>2</v>
      </c>
      <c r="K18" s="68">
        <f t="shared" si="1"/>
        <v>209178.54</v>
      </c>
      <c r="L18" s="68">
        <f t="shared" si="2"/>
        <v>52294.635000000002</v>
      </c>
      <c r="M18" s="68">
        <f t="shared" si="3"/>
        <v>261473.17500000002</v>
      </c>
      <c r="N18" s="68"/>
      <c r="O18" s="68">
        <f t="shared" si="4"/>
        <v>261473.17500000002</v>
      </c>
      <c r="P18" s="68">
        <f t="shared" si="5"/>
        <v>26147.317500000005</v>
      </c>
      <c r="Q18" s="68">
        <f t="shared" si="6"/>
        <v>52294.635000000009</v>
      </c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>
        <f>M18*50%</f>
        <v>130736.58750000001</v>
      </c>
      <c r="AD18" s="109">
        <f t="shared" si="7"/>
        <v>470651.71500000008</v>
      </c>
      <c r="AE18" s="109">
        <f t="shared" si="8"/>
        <v>5647.8205800000014</v>
      </c>
    </row>
    <row r="19" spans="1:31" s="105" customFormat="1" ht="14.25" customHeight="1">
      <c r="A19" s="95">
        <v>7</v>
      </c>
      <c r="B19" s="432" t="s">
        <v>203</v>
      </c>
      <c r="C19" s="467" t="s">
        <v>846</v>
      </c>
      <c r="D19" s="63" t="s">
        <v>50</v>
      </c>
      <c r="E19" s="95">
        <v>1</v>
      </c>
      <c r="F19" s="52" t="s">
        <v>198</v>
      </c>
      <c r="G19" s="214">
        <v>21.11</v>
      </c>
      <c r="H19" s="96">
        <v>5.74</v>
      </c>
      <c r="I19" s="68">
        <v>17697</v>
      </c>
      <c r="J19" s="96">
        <v>2</v>
      </c>
      <c r="K19" s="68">
        <f t="shared" si="1"/>
        <v>203161.56</v>
      </c>
      <c r="L19" s="68">
        <f t="shared" si="2"/>
        <v>50790.39</v>
      </c>
      <c r="M19" s="68">
        <f t="shared" si="3"/>
        <v>253951.95</v>
      </c>
      <c r="N19" s="68"/>
      <c r="O19" s="68">
        <f t="shared" si="4"/>
        <v>253951.95</v>
      </c>
      <c r="P19" s="68">
        <f t="shared" si="5"/>
        <v>25395.195000000003</v>
      </c>
      <c r="Q19" s="68">
        <f t="shared" si="6"/>
        <v>50790.390000000007</v>
      </c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>
        <f>M19*50%</f>
        <v>126975.97500000001</v>
      </c>
      <c r="AD19" s="109">
        <f t="shared" si="7"/>
        <v>457113.51</v>
      </c>
      <c r="AE19" s="109">
        <f t="shared" si="8"/>
        <v>5485.3621199999998</v>
      </c>
    </row>
    <row r="20" spans="1:31" s="105" customFormat="1" ht="24" customHeight="1">
      <c r="A20" s="95">
        <v>8</v>
      </c>
      <c r="B20" s="99" t="s">
        <v>204</v>
      </c>
      <c r="C20" s="467" t="s">
        <v>382</v>
      </c>
      <c r="D20" s="100" t="s">
        <v>205</v>
      </c>
      <c r="E20" s="95">
        <v>1</v>
      </c>
      <c r="F20" s="52" t="s">
        <v>206</v>
      </c>
      <c r="G20" s="284">
        <v>7.07</v>
      </c>
      <c r="H20" s="311">
        <v>5.0199999999999996</v>
      </c>
      <c r="I20" s="68">
        <v>17697</v>
      </c>
      <c r="J20" s="96">
        <v>1.45</v>
      </c>
      <c r="K20" s="68">
        <f t="shared" si="1"/>
        <v>128816.46299999997</v>
      </c>
      <c r="L20" s="68"/>
      <c r="M20" s="68">
        <f t="shared" si="3"/>
        <v>128816.46299999997</v>
      </c>
      <c r="N20" s="68"/>
      <c r="O20" s="68">
        <f t="shared" si="4"/>
        <v>128816.46299999997</v>
      </c>
      <c r="P20" s="68">
        <f t="shared" si="5"/>
        <v>12881.646299999999</v>
      </c>
      <c r="Q20" s="68">
        <f t="shared" si="6"/>
        <v>25763.292599999997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109">
        <f t="shared" si="7"/>
        <v>167461.40189999997</v>
      </c>
      <c r="AE20" s="109">
        <f t="shared" si="8"/>
        <v>2009.5368227999998</v>
      </c>
    </row>
    <row r="21" spans="1:31" s="105" customFormat="1" ht="11.25" customHeight="1">
      <c r="A21" s="362"/>
      <c r="B21" s="366" t="s">
        <v>376</v>
      </c>
      <c r="C21" s="368"/>
      <c r="D21" s="369"/>
      <c r="E21" s="370">
        <f t="shared" ref="E21" si="9">SUM(E13:E20)</f>
        <v>8</v>
      </c>
      <c r="F21" s="371"/>
      <c r="G21" s="371"/>
      <c r="H21" s="371"/>
      <c r="I21" s="371"/>
      <c r="J21" s="371"/>
      <c r="K21" s="371">
        <f>SUM(K13:K20)</f>
        <v>1585987.4430000002</v>
      </c>
      <c r="L21" s="371">
        <f t="shared" ref="L21:AE21" si="10">SUM(L13:L20)</f>
        <v>364292.74500000005</v>
      </c>
      <c r="M21" s="371">
        <f t="shared" si="10"/>
        <v>1950280.1880000001</v>
      </c>
      <c r="N21" s="371">
        <f t="shared" si="10"/>
        <v>0</v>
      </c>
      <c r="O21" s="371">
        <f t="shared" si="10"/>
        <v>1950280.1880000001</v>
      </c>
      <c r="P21" s="371">
        <f t="shared" si="10"/>
        <v>195028.01880000002</v>
      </c>
      <c r="Q21" s="371">
        <f t="shared" si="10"/>
        <v>390056.03760000004</v>
      </c>
      <c r="R21" s="371">
        <f t="shared" si="10"/>
        <v>0</v>
      </c>
      <c r="S21" s="371">
        <f t="shared" si="10"/>
        <v>0</v>
      </c>
      <c r="T21" s="371">
        <f t="shared" si="10"/>
        <v>0</v>
      </c>
      <c r="U21" s="371">
        <f t="shared" si="10"/>
        <v>0</v>
      </c>
      <c r="V21" s="371">
        <f t="shared" si="10"/>
        <v>0</v>
      </c>
      <c r="W21" s="371">
        <f t="shared" si="10"/>
        <v>0</v>
      </c>
      <c r="X21" s="371">
        <f t="shared" si="10"/>
        <v>0</v>
      </c>
      <c r="Y21" s="371">
        <f t="shared" si="10"/>
        <v>0</v>
      </c>
      <c r="Z21" s="371">
        <f t="shared" si="10"/>
        <v>0</v>
      </c>
      <c r="AA21" s="371">
        <f t="shared" si="10"/>
        <v>0</v>
      </c>
      <c r="AB21" s="371">
        <f t="shared" si="10"/>
        <v>0</v>
      </c>
      <c r="AC21" s="371">
        <f t="shared" si="10"/>
        <v>903874.27500000002</v>
      </c>
      <c r="AD21" s="371">
        <f t="shared" si="10"/>
        <v>3439238.5193999996</v>
      </c>
      <c r="AE21" s="371">
        <f t="shared" si="10"/>
        <v>41270.862232800006</v>
      </c>
    </row>
    <row r="22" spans="1:31" s="105" customFormat="1" ht="13.5" customHeight="1">
      <c r="A22" s="95">
        <v>9</v>
      </c>
      <c r="B22" s="79" t="s">
        <v>208</v>
      </c>
      <c r="C22" s="107" t="s">
        <v>207</v>
      </c>
      <c r="D22" s="80" t="s">
        <v>50</v>
      </c>
      <c r="E22" s="95">
        <v>1</v>
      </c>
      <c r="F22" s="313" t="s">
        <v>209</v>
      </c>
      <c r="G22" s="96">
        <v>22</v>
      </c>
      <c r="H22" s="96">
        <v>5.12</v>
      </c>
      <c r="I22" s="68">
        <v>17697</v>
      </c>
      <c r="J22" s="96">
        <v>2</v>
      </c>
      <c r="K22" s="68">
        <f t="shared" ref="K22" si="11">I22*E22*H22*J22</f>
        <v>181217.28</v>
      </c>
      <c r="L22" s="68">
        <f t="shared" si="2"/>
        <v>45304.32</v>
      </c>
      <c r="M22" s="68">
        <f t="shared" ref="M22" si="12">K22+L22</f>
        <v>226521.60000000001</v>
      </c>
      <c r="N22" s="68"/>
      <c r="O22" s="68">
        <f t="shared" ref="O22" si="13">M22</f>
        <v>226521.60000000001</v>
      </c>
      <c r="P22" s="68">
        <f t="shared" si="5"/>
        <v>22652.160000000003</v>
      </c>
      <c r="Q22" s="68">
        <f t="shared" ref="Q22" si="14">O22*20%</f>
        <v>45304.320000000007</v>
      </c>
      <c r="R22" s="66"/>
      <c r="S22" s="66"/>
      <c r="T22" s="66"/>
      <c r="U22" s="66"/>
      <c r="V22" s="66"/>
      <c r="W22" s="66"/>
      <c r="X22" s="66"/>
      <c r="Y22" s="66"/>
      <c r="Z22" s="66">
        <f>M22*35%</f>
        <v>79282.559999999998</v>
      </c>
      <c r="AA22" s="66"/>
      <c r="AB22" s="66"/>
      <c r="AC22" s="66"/>
      <c r="AD22" s="109">
        <f t="shared" si="7"/>
        <v>373760.64</v>
      </c>
      <c r="AE22" s="109">
        <f t="shared" si="8"/>
        <v>4485.1276799999996</v>
      </c>
    </row>
    <row r="23" spans="1:31" s="105" customFormat="1" ht="13.5" customHeight="1">
      <c r="A23" s="95">
        <v>10</v>
      </c>
      <c r="B23" s="79" t="s">
        <v>210</v>
      </c>
      <c r="C23" s="107" t="s">
        <v>207</v>
      </c>
      <c r="D23" s="80" t="s">
        <v>50</v>
      </c>
      <c r="E23" s="95">
        <v>1</v>
      </c>
      <c r="F23" s="313" t="s">
        <v>211</v>
      </c>
      <c r="G23" s="314">
        <v>15</v>
      </c>
      <c r="H23" s="96">
        <v>4.9000000000000004</v>
      </c>
      <c r="I23" s="68">
        <v>17697</v>
      </c>
      <c r="J23" s="96">
        <v>2</v>
      </c>
      <c r="K23" s="68">
        <f t="shared" ref="K23:K48" si="15">I23*E23*H23*J23</f>
        <v>173430.6</v>
      </c>
      <c r="L23" s="68">
        <f t="shared" si="2"/>
        <v>43357.65</v>
      </c>
      <c r="M23" s="68">
        <f t="shared" ref="M23:M48" si="16">K23+L23</f>
        <v>216788.25</v>
      </c>
      <c r="N23" s="68"/>
      <c r="O23" s="68">
        <f t="shared" ref="O23:O28" si="17">M23</f>
        <v>216788.25</v>
      </c>
      <c r="P23" s="68">
        <f t="shared" si="5"/>
        <v>21678.825000000001</v>
      </c>
      <c r="Q23" s="68">
        <f t="shared" ref="Q23:Q28" si="18">O23*20%</f>
        <v>43357.65</v>
      </c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109">
        <f t="shared" si="7"/>
        <v>281824.72500000003</v>
      </c>
      <c r="AE23" s="109">
        <f t="shared" si="8"/>
        <v>3381.8967000000002</v>
      </c>
    </row>
    <row r="24" spans="1:31" s="105" customFormat="1" ht="13.5" customHeight="1">
      <c r="A24" s="95">
        <v>11</v>
      </c>
      <c r="B24" s="79" t="s">
        <v>212</v>
      </c>
      <c r="C24" s="107" t="s">
        <v>207</v>
      </c>
      <c r="D24" s="80" t="s">
        <v>50</v>
      </c>
      <c r="E24" s="95">
        <v>1</v>
      </c>
      <c r="F24" s="313" t="s">
        <v>213</v>
      </c>
      <c r="G24" s="314">
        <v>9.0299999999999994</v>
      </c>
      <c r="H24" s="96">
        <v>4.79</v>
      </c>
      <c r="I24" s="68">
        <v>17697</v>
      </c>
      <c r="J24" s="96">
        <v>2</v>
      </c>
      <c r="K24" s="68">
        <f t="shared" si="15"/>
        <v>169537.26</v>
      </c>
      <c r="L24" s="68">
        <f t="shared" si="2"/>
        <v>42384.315000000002</v>
      </c>
      <c r="M24" s="68">
        <f t="shared" si="16"/>
        <v>211921.57500000001</v>
      </c>
      <c r="N24" s="68"/>
      <c r="O24" s="68">
        <f t="shared" si="17"/>
        <v>211921.57500000001</v>
      </c>
      <c r="P24" s="68">
        <f t="shared" si="5"/>
        <v>21192.157500000001</v>
      </c>
      <c r="Q24" s="68">
        <f t="shared" si="18"/>
        <v>42384.315000000002</v>
      </c>
      <c r="R24" s="66"/>
      <c r="S24" s="66"/>
      <c r="T24" s="66"/>
      <c r="U24" s="66"/>
      <c r="V24" s="66"/>
      <c r="W24" s="66"/>
      <c r="X24" s="66"/>
      <c r="Y24" s="66"/>
      <c r="Z24" s="66">
        <f>M24*35%</f>
        <v>74172.551250000004</v>
      </c>
      <c r="AA24" s="66"/>
      <c r="AB24" s="66"/>
      <c r="AC24" s="66"/>
      <c r="AD24" s="109">
        <f t="shared" si="7"/>
        <v>349670.59875</v>
      </c>
      <c r="AE24" s="109">
        <f t="shared" si="8"/>
        <v>4196.0471850000004</v>
      </c>
    </row>
    <row r="25" spans="1:31" s="105" customFormat="1" ht="13.5" customHeight="1">
      <c r="A25" s="95">
        <v>12</v>
      </c>
      <c r="B25" s="101" t="s">
        <v>215</v>
      </c>
      <c r="C25" s="101" t="s">
        <v>423</v>
      </c>
      <c r="D25" s="80" t="s">
        <v>50</v>
      </c>
      <c r="E25" s="95">
        <v>1</v>
      </c>
      <c r="F25" s="69" t="s">
        <v>216</v>
      </c>
      <c r="G25" s="315">
        <v>23.03</v>
      </c>
      <c r="H25" s="110">
        <v>4.12</v>
      </c>
      <c r="I25" s="68">
        <v>17697</v>
      </c>
      <c r="J25" s="96">
        <v>2</v>
      </c>
      <c r="K25" s="68">
        <f t="shared" si="15"/>
        <v>145823.28</v>
      </c>
      <c r="L25" s="68">
        <f t="shared" si="2"/>
        <v>36455.82</v>
      </c>
      <c r="M25" s="68">
        <f t="shared" si="16"/>
        <v>182279.1</v>
      </c>
      <c r="N25" s="68"/>
      <c r="O25" s="68">
        <f t="shared" si="17"/>
        <v>182279.1</v>
      </c>
      <c r="P25" s="68">
        <f t="shared" si="5"/>
        <v>18227.91</v>
      </c>
      <c r="Q25" s="68">
        <f t="shared" si="18"/>
        <v>36455.82</v>
      </c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109">
        <f t="shared" si="7"/>
        <v>236962.83000000002</v>
      </c>
      <c r="AE25" s="109">
        <f t="shared" si="8"/>
        <v>2843.5539600000002</v>
      </c>
    </row>
    <row r="26" spans="1:31" s="105" customFormat="1" ht="14.25" customHeight="1">
      <c r="A26" s="95">
        <v>13</v>
      </c>
      <c r="B26" s="79" t="s">
        <v>107</v>
      </c>
      <c r="C26" s="101" t="s">
        <v>423</v>
      </c>
      <c r="D26" s="80" t="s">
        <v>50</v>
      </c>
      <c r="E26" s="95">
        <v>1</v>
      </c>
      <c r="F26" s="313" t="s">
        <v>226</v>
      </c>
      <c r="G26" s="314">
        <v>16.05</v>
      </c>
      <c r="H26" s="96">
        <v>4.0599999999999996</v>
      </c>
      <c r="I26" s="68">
        <v>17697</v>
      </c>
      <c r="J26" s="96">
        <v>2</v>
      </c>
      <c r="K26" s="68">
        <f t="shared" si="15"/>
        <v>143699.63999999998</v>
      </c>
      <c r="L26" s="68">
        <f t="shared" si="2"/>
        <v>35924.909999999996</v>
      </c>
      <c r="M26" s="68">
        <f t="shared" si="16"/>
        <v>179624.55</v>
      </c>
      <c r="N26" s="68"/>
      <c r="O26" s="68">
        <f t="shared" si="17"/>
        <v>179624.55</v>
      </c>
      <c r="P26" s="68">
        <f t="shared" si="5"/>
        <v>17962.454999999998</v>
      </c>
      <c r="Q26" s="68">
        <f t="shared" si="18"/>
        <v>35924.909999999996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109">
        <f t="shared" si="7"/>
        <v>233511.91499999998</v>
      </c>
      <c r="AE26" s="109">
        <f t="shared" si="8"/>
        <v>2802.1429799999996</v>
      </c>
    </row>
    <row r="27" spans="1:31" s="105" customFormat="1" ht="13.5" customHeight="1">
      <c r="A27" s="95">
        <v>14</v>
      </c>
      <c r="B27" s="79" t="s">
        <v>217</v>
      </c>
      <c r="C27" s="101" t="s">
        <v>214</v>
      </c>
      <c r="D27" s="80" t="s">
        <v>50</v>
      </c>
      <c r="E27" s="95">
        <v>1</v>
      </c>
      <c r="F27" s="313" t="s">
        <v>218</v>
      </c>
      <c r="G27" s="314">
        <v>8.0299999999999994</v>
      </c>
      <c r="H27" s="96">
        <v>4.1399999999999997</v>
      </c>
      <c r="I27" s="68">
        <v>17697</v>
      </c>
      <c r="J27" s="96">
        <v>2</v>
      </c>
      <c r="K27" s="68">
        <f t="shared" si="15"/>
        <v>146531.15999999997</v>
      </c>
      <c r="L27" s="68">
        <f t="shared" si="2"/>
        <v>36632.789999999994</v>
      </c>
      <c r="M27" s="68">
        <f t="shared" si="16"/>
        <v>183163.94999999995</v>
      </c>
      <c r="N27" s="68"/>
      <c r="O27" s="68">
        <f t="shared" si="17"/>
        <v>183163.94999999995</v>
      </c>
      <c r="P27" s="68">
        <f t="shared" si="5"/>
        <v>18316.394999999997</v>
      </c>
      <c r="Q27" s="68">
        <f t="shared" si="18"/>
        <v>36632.789999999994</v>
      </c>
      <c r="R27" s="66"/>
      <c r="S27" s="66"/>
      <c r="T27" s="66"/>
      <c r="U27" s="66"/>
      <c r="V27" s="66"/>
      <c r="W27" s="66"/>
      <c r="X27" s="66"/>
      <c r="Y27" s="66">
        <f>M27*30%</f>
        <v>54949.184999999983</v>
      </c>
      <c r="Z27" s="66"/>
      <c r="AA27" s="66"/>
      <c r="AB27" s="66"/>
      <c r="AC27" s="66"/>
      <c r="AD27" s="109">
        <f>SUM(O27:AC27)</f>
        <v>293062.31999999995</v>
      </c>
      <c r="AE27" s="109">
        <f t="shared" si="8"/>
        <v>3516.7478399999995</v>
      </c>
    </row>
    <row r="28" spans="1:31" s="105" customFormat="1" ht="13.5" customHeight="1">
      <c r="A28" s="95">
        <v>15</v>
      </c>
      <c r="B28" s="79" t="s">
        <v>219</v>
      </c>
      <c r="C28" s="316" t="s">
        <v>375</v>
      </c>
      <c r="D28" s="80" t="s">
        <v>50</v>
      </c>
      <c r="E28" s="95">
        <v>1</v>
      </c>
      <c r="F28" s="313" t="s">
        <v>211</v>
      </c>
      <c r="G28" s="314">
        <v>24.01</v>
      </c>
      <c r="H28" s="96">
        <v>5.08</v>
      </c>
      <c r="I28" s="68">
        <v>17697</v>
      </c>
      <c r="J28" s="96">
        <v>2</v>
      </c>
      <c r="K28" s="68">
        <f t="shared" si="15"/>
        <v>179801.52</v>
      </c>
      <c r="L28" s="68">
        <f t="shared" si="2"/>
        <v>44950.38</v>
      </c>
      <c r="M28" s="68">
        <f t="shared" si="16"/>
        <v>224751.9</v>
      </c>
      <c r="N28" s="68"/>
      <c r="O28" s="68">
        <f t="shared" si="17"/>
        <v>224751.9</v>
      </c>
      <c r="P28" s="68">
        <f t="shared" si="5"/>
        <v>22475.190000000002</v>
      </c>
      <c r="Q28" s="68">
        <f t="shared" si="18"/>
        <v>44950.380000000005</v>
      </c>
      <c r="R28" s="66"/>
      <c r="S28" s="66">
        <f>M28*30%</f>
        <v>67425.569999999992</v>
      </c>
      <c r="T28" s="66"/>
      <c r="U28" s="66"/>
      <c r="V28" s="66"/>
      <c r="W28" s="66"/>
      <c r="X28" s="66"/>
      <c r="Y28" s="66">
        <f>M28*30%</f>
        <v>67425.569999999992</v>
      </c>
      <c r="Z28" s="66"/>
      <c r="AA28" s="66"/>
      <c r="AB28" s="66"/>
      <c r="AC28" s="66"/>
      <c r="AD28" s="109">
        <f t="shared" si="7"/>
        <v>427028.61</v>
      </c>
      <c r="AE28" s="109">
        <f t="shared" si="8"/>
        <v>5124.3433199999999</v>
      </c>
    </row>
    <row r="29" spans="1:31" s="105" customFormat="1" ht="26.25" customHeight="1">
      <c r="A29" s="95">
        <v>16</v>
      </c>
      <c r="B29" s="216" t="s">
        <v>221</v>
      </c>
      <c r="C29" s="79" t="s">
        <v>220</v>
      </c>
      <c r="D29" s="80" t="s">
        <v>50</v>
      </c>
      <c r="E29" s="95">
        <v>1</v>
      </c>
      <c r="F29" s="69" t="s">
        <v>216</v>
      </c>
      <c r="G29" s="314">
        <v>6.08</v>
      </c>
      <c r="H29" s="96">
        <v>3.78</v>
      </c>
      <c r="I29" s="68">
        <v>17697</v>
      </c>
      <c r="J29" s="96">
        <v>2</v>
      </c>
      <c r="K29" s="68">
        <f t="shared" si="15"/>
        <v>133789.32</v>
      </c>
      <c r="L29" s="68">
        <f t="shared" si="2"/>
        <v>33447.33</v>
      </c>
      <c r="M29" s="68">
        <f t="shared" si="16"/>
        <v>167236.65000000002</v>
      </c>
      <c r="N29" s="473">
        <v>1.3</v>
      </c>
      <c r="O29" s="68">
        <f>M29*N29</f>
        <v>217407.64500000005</v>
      </c>
      <c r="P29" s="68">
        <f>M29*10%</f>
        <v>16723.665000000005</v>
      </c>
      <c r="Q29" s="68">
        <f t="shared" ref="Q29:Q32" si="19">M29*20%</f>
        <v>33447.330000000009</v>
      </c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109">
        <f t="shared" si="7"/>
        <v>267578.64000000007</v>
      </c>
      <c r="AE29" s="109">
        <f t="shared" si="8"/>
        <v>3210.9436800000008</v>
      </c>
    </row>
    <row r="30" spans="1:31" s="105" customFormat="1" ht="26.25" customHeight="1">
      <c r="A30" s="95">
        <v>17</v>
      </c>
      <c r="B30" s="81" t="s">
        <v>469</v>
      </c>
      <c r="C30" s="79" t="s">
        <v>220</v>
      </c>
      <c r="D30" s="80" t="s">
        <v>50</v>
      </c>
      <c r="E30" s="95">
        <v>1</v>
      </c>
      <c r="F30" s="313" t="s">
        <v>222</v>
      </c>
      <c r="G30" s="314">
        <v>9.08</v>
      </c>
      <c r="H30" s="96">
        <v>3.85</v>
      </c>
      <c r="I30" s="68">
        <v>17697</v>
      </c>
      <c r="J30" s="96">
        <v>2</v>
      </c>
      <c r="K30" s="68">
        <f t="shared" si="15"/>
        <v>136266.9</v>
      </c>
      <c r="L30" s="68">
        <f t="shared" si="2"/>
        <v>34066.724999999999</v>
      </c>
      <c r="M30" s="68">
        <f t="shared" si="16"/>
        <v>170333.625</v>
      </c>
      <c r="N30" s="473">
        <v>1.3</v>
      </c>
      <c r="O30" s="68">
        <f t="shared" ref="O30:O32" si="20">M30*N30</f>
        <v>221433.71249999999</v>
      </c>
      <c r="P30" s="68">
        <f>M30*10%</f>
        <v>17033.362499999999</v>
      </c>
      <c r="Q30" s="68">
        <f t="shared" si="19"/>
        <v>34066.724999999999</v>
      </c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109">
        <f t="shared" si="7"/>
        <v>272533.8</v>
      </c>
      <c r="AE30" s="109">
        <f t="shared" si="8"/>
        <v>3270.4055999999996</v>
      </c>
    </row>
    <row r="31" spans="1:31" s="105" customFormat="1" ht="26.25" customHeight="1">
      <c r="A31" s="95">
        <v>18</v>
      </c>
      <c r="B31" s="102" t="s">
        <v>107</v>
      </c>
      <c r="C31" s="79" t="s">
        <v>220</v>
      </c>
      <c r="D31" s="80" t="s">
        <v>50</v>
      </c>
      <c r="E31" s="95">
        <v>1</v>
      </c>
      <c r="F31" s="313" t="s">
        <v>222</v>
      </c>
      <c r="G31" s="314">
        <v>6.03</v>
      </c>
      <c r="H31" s="96">
        <v>3.78</v>
      </c>
      <c r="I31" s="68">
        <v>17697</v>
      </c>
      <c r="J31" s="96">
        <v>2</v>
      </c>
      <c r="K31" s="68">
        <f t="shared" si="15"/>
        <v>133789.32</v>
      </c>
      <c r="L31" s="68">
        <f t="shared" si="2"/>
        <v>33447.33</v>
      </c>
      <c r="M31" s="68">
        <f t="shared" si="16"/>
        <v>167236.65000000002</v>
      </c>
      <c r="N31" s="473">
        <v>1.3</v>
      </c>
      <c r="O31" s="68">
        <f t="shared" si="20"/>
        <v>217407.64500000005</v>
      </c>
      <c r="P31" s="68">
        <f>M31*10%</f>
        <v>16723.665000000005</v>
      </c>
      <c r="Q31" s="68">
        <f t="shared" si="19"/>
        <v>33447.330000000009</v>
      </c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109">
        <f t="shared" si="7"/>
        <v>267578.64000000007</v>
      </c>
      <c r="AE31" s="109">
        <f t="shared" si="8"/>
        <v>3210.9436800000008</v>
      </c>
    </row>
    <row r="32" spans="1:31" s="105" customFormat="1" ht="26.25" customHeight="1">
      <c r="A32" s="95">
        <v>19</v>
      </c>
      <c r="B32" s="102" t="s">
        <v>223</v>
      </c>
      <c r="C32" s="79" t="s">
        <v>220</v>
      </c>
      <c r="D32" s="80" t="s">
        <v>50</v>
      </c>
      <c r="E32" s="95">
        <v>1</v>
      </c>
      <c r="F32" s="313" t="s">
        <v>222</v>
      </c>
      <c r="G32" s="314">
        <v>14.08</v>
      </c>
      <c r="H32" s="96">
        <v>4</v>
      </c>
      <c r="I32" s="68">
        <v>17697</v>
      </c>
      <c r="J32" s="96">
        <v>2</v>
      </c>
      <c r="K32" s="68">
        <f t="shared" si="15"/>
        <v>141576</v>
      </c>
      <c r="L32" s="68">
        <f t="shared" si="2"/>
        <v>35394</v>
      </c>
      <c r="M32" s="68">
        <f t="shared" si="16"/>
        <v>176970</v>
      </c>
      <c r="N32" s="473">
        <v>1.3</v>
      </c>
      <c r="O32" s="68">
        <f t="shared" si="20"/>
        <v>230061</v>
      </c>
      <c r="P32" s="68">
        <f>M32*10%</f>
        <v>17697</v>
      </c>
      <c r="Q32" s="68">
        <f t="shared" si="19"/>
        <v>35394</v>
      </c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109">
        <f t="shared" si="7"/>
        <v>283152</v>
      </c>
      <c r="AE32" s="109">
        <f t="shared" si="8"/>
        <v>3397.8240000000001</v>
      </c>
    </row>
    <row r="33" spans="1:31" s="105" customFormat="1" ht="13.5" customHeight="1">
      <c r="A33" s="95">
        <v>20</v>
      </c>
      <c r="B33" s="79" t="s">
        <v>225</v>
      </c>
      <c r="C33" s="79" t="s">
        <v>224</v>
      </c>
      <c r="D33" s="80" t="s">
        <v>50</v>
      </c>
      <c r="E33" s="95">
        <v>1</v>
      </c>
      <c r="F33" s="313" t="s">
        <v>226</v>
      </c>
      <c r="G33" s="96">
        <v>8.1</v>
      </c>
      <c r="H33" s="95">
        <v>3.85</v>
      </c>
      <c r="I33" s="68">
        <v>17697</v>
      </c>
      <c r="J33" s="96">
        <v>2</v>
      </c>
      <c r="K33" s="68">
        <f t="shared" si="15"/>
        <v>136266.9</v>
      </c>
      <c r="L33" s="68">
        <f t="shared" si="2"/>
        <v>34066.724999999999</v>
      </c>
      <c r="M33" s="68">
        <f t="shared" si="16"/>
        <v>170333.625</v>
      </c>
      <c r="N33" s="68"/>
      <c r="O33" s="68">
        <f t="shared" ref="O33" si="21">M33</f>
        <v>170333.625</v>
      </c>
      <c r="P33" s="68">
        <f t="shared" ref="P33:P96" si="22">O33*10%</f>
        <v>17033.362499999999</v>
      </c>
      <c r="Q33" s="68">
        <f t="shared" ref="Q33" si="23">O33*20%</f>
        <v>34066.724999999999</v>
      </c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109">
        <f t="shared" si="7"/>
        <v>221433.71249999999</v>
      </c>
      <c r="AE33" s="109">
        <f t="shared" si="8"/>
        <v>2657.2045499999999</v>
      </c>
    </row>
    <row r="34" spans="1:31" s="105" customFormat="1" ht="13.5" customHeight="1">
      <c r="A34" s="95">
        <v>21</v>
      </c>
      <c r="B34" s="62" t="s">
        <v>461</v>
      </c>
      <c r="C34" s="99" t="s">
        <v>227</v>
      </c>
      <c r="D34" s="80" t="s">
        <v>50</v>
      </c>
      <c r="E34" s="95">
        <v>1</v>
      </c>
      <c r="F34" s="69" t="s">
        <v>216</v>
      </c>
      <c r="G34" s="314">
        <v>3.09</v>
      </c>
      <c r="H34" s="96">
        <v>3.71</v>
      </c>
      <c r="I34" s="68">
        <v>17697</v>
      </c>
      <c r="J34" s="96">
        <v>2</v>
      </c>
      <c r="K34" s="68">
        <f t="shared" si="15"/>
        <v>131311.74</v>
      </c>
      <c r="L34" s="68">
        <f t="shared" si="2"/>
        <v>32827.934999999998</v>
      </c>
      <c r="M34" s="68">
        <f t="shared" si="16"/>
        <v>164139.67499999999</v>
      </c>
      <c r="N34" s="68"/>
      <c r="O34" s="68">
        <f t="shared" ref="O34:O48" si="24">M34</f>
        <v>164139.67499999999</v>
      </c>
      <c r="P34" s="68">
        <f t="shared" si="22"/>
        <v>16413.967499999999</v>
      </c>
      <c r="Q34" s="68">
        <f t="shared" ref="Q34:Q48" si="25">O34*20%</f>
        <v>32827.934999999998</v>
      </c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109">
        <f t="shared" si="7"/>
        <v>213381.57749999998</v>
      </c>
      <c r="AE34" s="109">
        <f t="shared" si="8"/>
        <v>2560.5789299999997</v>
      </c>
    </row>
    <row r="35" spans="1:31" s="105" customFormat="1" ht="24" customHeight="1">
      <c r="A35" s="95">
        <v>22</v>
      </c>
      <c r="B35" s="292" t="s">
        <v>229</v>
      </c>
      <c r="C35" s="467" t="s">
        <v>842</v>
      </c>
      <c r="D35" s="80" t="s">
        <v>50</v>
      </c>
      <c r="E35" s="95">
        <v>0.5</v>
      </c>
      <c r="F35" s="313" t="s">
        <v>230</v>
      </c>
      <c r="G35" s="214">
        <v>21.11</v>
      </c>
      <c r="H35" s="95">
        <v>4.6900000000000004</v>
      </c>
      <c r="I35" s="68">
        <v>17697</v>
      </c>
      <c r="J35" s="96">
        <v>2</v>
      </c>
      <c r="K35" s="68">
        <f t="shared" si="15"/>
        <v>82998.930000000008</v>
      </c>
      <c r="L35" s="68">
        <f t="shared" si="2"/>
        <v>20749.732500000002</v>
      </c>
      <c r="M35" s="68">
        <f t="shared" si="16"/>
        <v>103748.66250000001</v>
      </c>
      <c r="N35" s="68"/>
      <c r="O35" s="68">
        <f t="shared" si="24"/>
        <v>103748.66250000001</v>
      </c>
      <c r="P35" s="68">
        <f t="shared" si="22"/>
        <v>10374.866250000001</v>
      </c>
      <c r="Q35" s="68">
        <f t="shared" si="25"/>
        <v>20749.732500000002</v>
      </c>
      <c r="R35" s="66"/>
      <c r="S35" s="66"/>
      <c r="T35" s="66"/>
      <c r="U35" s="66"/>
      <c r="V35" s="66"/>
      <c r="W35" s="66"/>
      <c r="X35" s="66"/>
      <c r="Y35" s="66"/>
      <c r="Z35" s="66"/>
      <c r="AA35" s="66">
        <f>M35*40%</f>
        <v>41499.465000000004</v>
      </c>
      <c r="AB35" s="66"/>
      <c r="AC35" s="66"/>
      <c r="AD35" s="109">
        <f t="shared" si="7"/>
        <v>176372.72625000001</v>
      </c>
      <c r="AE35" s="109">
        <f t="shared" si="8"/>
        <v>2116.4727149999999</v>
      </c>
    </row>
    <row r="36" spans="1:31" s="105" customFormat="1" ht="24" customHeight="1">
      <c r="A36" s="95">
        <v>23</v>
      </c>
      <c r="B36" s="79" t="s">
        <v>177</v>
      </c>
      <c r="C36" s="467" t="s">
        <v>842</v>
      </c>
      <c r="D36" s="80" t="s">
        <v>50</v>
      </c>
      <c r="E36" s="95">
        <v>1</v>
      </c>
      <c r="F36" s="313" t="s">
        <v>226</v>
      </c>
      <c r="G36" s="314">
        <v>5</v>
      </c>
      <c r="H36" s="96">
        <v>3.78</v>
      </c>
      <c r="I36" s="68">
        <v>17697</v>
      </c>
      <c r="J36" s="96">
        <v>2</v>
      </c>
      <c r="K36" s="68">
        <f t="shared" si="15"/>
        <v>133789.32</v>
      </c>
      <c r="L36" s="68">
        <f t="shared" si="2"/>
        <v>33447.33</v>
      </c>
      <c r="M36" s="68">
        <f t="shared" si="16"/>
        <v>167236.65000000002</v>
      </c>
      <c r="N36" s="68"/>
      <c r="O36" s="68">
        <f t="shared" si="24"/>
        <v>167236.65000000002</v>
      </c>
      <c r="P36" s="68">
        <f t="shared" si="22"/>
        <v>16723.665000000005</v>
      </c>
      <c r="Q36" s="68">
        <f t="shared" si="25"/>
        <v>33447.330000000009</v>
      </c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109">
        <f t="shared" si="7"/>
        <v>217407.64500000005</v>
      </c>
      <c r="AE36" s="109">
        <f t="shared" si="8"/>
        <v>2608.8917400000005</v>
      </c>
    </row>
    <row r="37" spans="1:31" s="105" customFormat="1" ht="24" customHeight="1">
      <c r="A37" s="95">
        <v>24</v>
      </c>
      <c r="B37" s="79" t="s">
        <v>231</v>
      </c>
      <c r="C37" s="467" t="s">
        <v>842</v>
      </c>
      <c r="D37" s="80" t="s">
        <v>50</v>
      </c>
      <c r="E37" s="95">
        <v>1</v>
      </c>
      <c r="F37" s="313" t="s">
        <v>226</v>
      </c>
      <c r="G37" s="314">
        <v>2.09</v>
      </c>
      <c r="H37" s="96">
        <v>3.64</v>
      </c>
      <c r="I37" s="68">
        <v>17697</v>
      </c>
      <c r="J37" s="96">
        <v>2</v>
      </c>
      <c r="K37" s="68">
        <f t="shared" si="15"/>
        <v>128834.16</v>
      </c>
      <c r="L37" s="68">
        <f t="shared" si="2"/>
        <v>32208.54</v>
      </c>
      <c r="M37" s="68">
        <f t="shared" si="16"/>
        <v>161042.70000000001</v>
      </c>
      <c r="N37" s="68"/>
      <c r="O37" s="68">
        <f t="shared" si="24"/>
        <v>161042.70000000001</v>
      </c>
      <c r="P37" s="68">
        <f t="shared" si="22"/>
        <v>16104.270000000002</v>
      </c>
      <c r="Q37" s="68">
        <f t="shared" si="25"/>
        <v>32208.540000000005</v>
      </c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109">
        <f t="shared" si="7"/>
        <v>209355.51</v>
      </c>
      <c r="AE37" s="109">
        <f t="shared" si="8"/>
        <v>2512.2661200000002</v>
      </c>
    </row>
    <row r="38" spans="1:31" s="105" customFormat="1" ht="12" customHeight="1">
      <c r="A38" s="95">
        <v>25</v>
      </c>
      <c r="B38" s="79" t="s">
        <v>233</v>
      </c>
      <c r="C38" s="79" t="s">
        <v>232</v>
      </c>
      <c r="D38" s="80" t="s">
        <v>50</v>
      </c>
      <c r="E38" s="95">
        <v>1</v>
      </c>
      <c r="F38" s="313" t="s">
        <v>234</v>
      </c>
      <c r="G38" s="314">
        <v>20.079999999999998</v>
      </c>
      <c r="H38" s="96">
        <v>4.4400000000000004</v>
      </c>
      <c r="I38" s="68">
        <v>17697</v>
      </c>
      <c r="J38" s="96">
        <v>2</v>
      </c>
      <c r="K38" s="68">
        <f t="shared" si="15"/>
        <v>157149.36000000002</v>
      </c>
      <c r="L38" s="68">
        <f t="shared" si="2"/>
        <v>39287.340000000004</v>
      </c>
      <c r="M38" s="68">
        <f t="shared" si="16"/>
        <v>196436.7</v>
      </c>
      <c r="N38" s="68"/>
      <c r="O38" s="68">
        <f t="shared" si="24"/>
        <v>196436.7</v>
      </c>
      <c r="P38" s="68">
        <f t="shared" si="22"/>
        <v>19643.670000000002</v>
      </c>
      <c r="Q38" s="68">
        <f t="shared" si="25"/>
        <v>39287.340000000004</v>
      </c>
      <c r="R38" s="66"/>
      <c r="S38" s="66"/>
      <c r="T38" s="66"/>
      <c r="U38" s="66"/>
      <c r="V38" s="66"/>
      <c r="W38" s="66"/>
      <c r="X38" s="66"/>
      <c r="Y38" s="66"/>
      <c r="Z38" s="66">
        <f>M38*35%</f>
        <v>68752.845000000001</v>
      </c>
      <c r="AA38" s="66"/>
      <c r="AB38" s="66"/>
      <c r="AC38" s="66"/>
      <c r="AD38" s="109">
        <f t="shared" si="7"/>
        <v>324120.55500000005</v>
      </c>
      <c r="AE38" s="109">
        <f t="shared" si="8"/>
        <v>3889.4466600000005</v>
      </c>
    </row>
    <row r="39" spans="1:31" s="105" customFormat="1" ht="12" customHeight="1">
      <c r="A39" s="95">
        <v>26</v>
      </c>
      <c r="B39" s="62" t="s">
        <v>81</v>
      </c>
      <c r="C39" s="79" t="s">
        <v>232</v>
      </c>
      <c r="D39" s="80" t="s">
        <v>50</v>
      </c>
      <c r="E39" s="95">
        <v>1</v>
      </c>
      <c r="F39" s="313" t="s">
        <v>230</v>
      </c>
      <c r="G39" s="314">
        <v>41</v>
      </c>
      <c r="H39" s="96">
        <v>4.75</v>
      </c>
      <c r="I39" s="68">
        <v>17697</v>
      </c>
      <c r="J39" s="96">
        <v>2</v>
      </c>
      <c r="K39" s="68">
        <f t="shared" si="15"/>
        <v>168121.5</v>
      </c>
      <c r="L39" s="68">
        <f t="shared" si="2"/>
        <v>42030.375</v>
      </c>
      <c r="M39" s="68">
        <f t="shared" si="16"/>
        <v>210151.875</v>
      </c>
      <c r="N39" s="68"/>
      <c r="O39" s="68">
        <f t="shared" si="24"/>
        <v>210151.875</v>
      </c>
      <c r="P39" s="68">
        <f t="shared" si="22"/>
        <v>21015.1875</v>
      </c>
      <c r="Q39" s="68">
        <f t="shared" si="25"/>
        <v>42030.375</v>
      </c>
      <c r="R39" s="66"/>
      <c r="S39" s="66"/>
      <c r="T39" s="66"/>
      <c r="U39" s="66"/>
      <c r="V39" s="66"/>
      <c r="W39" s="66"/>
      <c r="X39" s="66"/>
      <c r="Y39" s="66"/>
      <c r="Z39" s="66"/>
      <c r="AA39" s="66">
        <f>M39*40%</f>
        <v>84060.75</v>
      </c>
      <c r="AB39" s="66"/>
      <c r="AC39" s="66"/>
      <c r="AD39" s="109">
        <f t="shared" si="7"/>
        <v>357258.1875</v>
      </c>
      <c r="AE39" s="109">
        <f t="shared" si="8"/>
        <v>4287.09825</v>
      </c>
    </row>
    <row r="40" spans="1:31" s="105" customFormat="1" ht="24" customHeight="1">
      <c r="A40" s="95">
        <v>27</v>
      </c>
      <c r="B40" s="216" t="s">
        <v>151</v>
      </c>
      <c r="C40" s="467" t="s">
        <v>843</v>
      </c>
      <c r="D40" s="80" t="s">
        <v>50</v>
      </c>
      <c r="E40" s="95">
        <v>0.5</v>
      </c>
      <c r="F40" s="313" t="s">
        <v>226</v>
      </c>
      <c r="G40" s="314">
        <v>7</v>
      </c>
      <c r="H40" s="96">
        <v>3.85</v>
      </c>
      <c r="I40" s="68">
        <v>17697</v>
      </c>
      <c r="J40" s="96">
        <v>2</v>
      </c>
      <c r="K40" s="68">
        <f t="shared" si="15"/>
        <v>68133.45</v>
      </c>
      <c r="L40" s="68">
        <f t="shared" si="2"/>
        <v>17033.362499999999</v>
      </c>
      <c r="M40" s="68">
        <f t="shared" si="16"/>
        <v>85166.8125</v>
      </c>
      <c r="N40" s="68"/>
      <c r="O40" s="68">
        <f t="shared" si="24"/>
        <v>85166.8125</v>
      </c>
      <c r="P40" s="68">
        <f t="shared" si="22"/>
        <v>8516.6812499999996</v>
      </c>
      <c r="Q40" s="68">
        <f t="shared" si="25"/>
        <v>17033.362499999999</v>
      </c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109">
        <f t="shared" si="7"/>
        <v>110716.85625</v>
      </c>
      <c r="AE40" s="109">
        <f t="shared" si="8"/>
        <v>1328.602275</v>
      </c>
    </row>
    <row r="41" spans="1:31" s="105" customFormat="1" ht="24" customHeight="1">
      <c r="A41" s="95">
        <v>28</v>
      </c>
      <c r="B41" s="216" t="s">
        <v>235</v>
      </c>
      <c r="C41" s="467" t="s">
        <v>843</v>
      </c>
      <c r="D41" s="80" t="s">
        <v>50</v>
      </c>
      <c r="E41" s="95">
        <v>1</v>
      </c>
      <c r="F41" s="313" t="s">
        <v>226</v>
      </c>
      <c r="G41" s="314">
        <v>1.04</v>
      </c>
      <c r="H41" s="96">
        <v>3.58</v>
      </c>
      <c r="I41" s="68">
        <v>17697</v>
      </c>
      <c r="J41" s="96">
        <v>2</v>
      </c>
      <c r="K41" s="68">
        <f t="shared" si="15"/>
        <v>126710.52</v>
      </c>
      <c r="L41" s="68">
        <f t="shared" si="2"/>
        <v>31677.63</v>
      </c>
      <c r="M41" s="68">
        <f t="shared" si="16"/>
        <v>158388.15</v>
      </c>
      <c r="N41" s="68"/>
      <c r="O41" s="68">
        <f t="shared" si="24"/>
        <v>158388.15</v>
      </c>
      <c r="P41" s="68">
        <f t="shared" si="22"/>
        <v>15838.815000000001</v>
      </c>
      <c r="Q41" s="68">
        <f t="shared" si="25"/>
        <v>31677.63</v>
      </c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109">
        <f t="shared" si="7"/>
        <v>205904.595</v>
      </c>
      <c r="AE41" s="109">
        <f t="shared" si="8"/>
        <v>2470.8551400000001</v>
      </c>
    </row>
    <row r="42" spans="1:31" s="105" customFormat="1" ht="12" customHeight="1">
      <c r="A42" s="95">
        <v>29</v>
      </c>
      <c r="B42" s="216" t="s">
        <v>626</v>
      </c>
      <c r="C42" s="79" t="s">
        <v>232</v>
      </c>
      <c r="D42" s="80" t="s">
        <v>50</v>
      </c>
      <c r="E42" s="95">
        <v>0.75</v>
      </c>
      <c r="F42" s="313" t="s">
        <v>216</v>
      </c>
      <c r="G42" s="314">
        <v>8.09</v>
      </c>
      <c r="H42" s="96">
        <v>3.85</v>
      </c>
      <c r="I42" s="68">
        <v>17697</v>
      </c>
      <c r="J42" s="96">
        <v>2</v>
      </c>
      <c r="K42" s="68">
        <f t="shared" si="15"/>
        <v>102200.175</v>
      </c>
      <c r="L42" s="68">
        <f t="shared" si="2"/>
        <v>25550.043750000001</v>
      </c>
      <c r="M42" s="68">
        <f t="shared" si="16"/>
        <v>127750.21875</v>
      </c>
      <c r="N42" s="68"/>
      <c r="O42" s="68">
        <f t="shared" si="24"/>
        <v>127750.21875</v>
      </c>
      <c r="P42" s="68">
        <f t="shared" si="22"/>
        <v>12775.021875</v>
      </c>
      <c r="Q42" s="68">
        <f t="shared" si="25"/>
        <v>25550.043750000001</v>
      </c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109">
        <f t="shared" si="7"/>
        <v>166075.28437500002</v>
      </c>
      <c r="AE42" s="109">
        <f t="shared" si="8"/>
        <v>1992.9034125000001</v>
      </c>
    </row>
    <row r="43" spans="1:31" s="105" customFormat="1" ht="13.5" customHeight="1">
      <c r="A43" s="95">
        <v>30</v>
      </c>
      <c r="B43" s="216" t="s">
        <v>157</v>
      </c>
      <c r="C43" s="79" t="s">
        <v>422</v>
      </c>
      <c r="D43" s="80" t="s">
        <v>50</v>
      </c>
      <c r="E43" s="95">
        <v>1</v>
      </c>
      <c r="F43" s="313" t="s">
        <v>216</v>
      </c>
      <c r="G43" s="314">
        <v>11.1</v>
      </c>
      <c r="H43" s="96">
        <v>3.94</v>
      </c>
      <c r="I43" s="68">
        <v>17697</v>
      </c>
      <c r="J43" s="96">
        <v>2</v>
      </c>
      <c r="K43" s="68">
        <f t="shared" si="15"/>
        <v>139452.35999999999</v>
      </c>
      <c r="L43" s="68">
        <f t="shared" si="2"/>
        <v>34863.089999999997</v>
      </c>
      <c r="M43" s="68">
        <f t="shared" si="16"/>
        <v>174315.44999999998</v>
      </c>
      <c r="N43" s="68"/>
      <c r="O43" s="68">
        <f t="shared" si="24"/>
        <v>174315.44999999998</v>
      </c>
      <c r="P43" s="68">
        <f t="shared" si="22"/>
        <v>17431.544999999998</v>
      </c>
      <c r="Q43" s="68">
        <f t="shared" si="25"/>
        <v>34863.089999999997</v>
      </c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109">
        <f t="shared" si="7"/>
        <v>226610.08499999999</v>
      </c>
      <c r="AE43" s="109">
        <f t="shared" si="8"/>
        <v>2719.3210199999999</v>
      </c>
    </row>
    <row r="44" spans="1:31" s="105" customFormat="1" ht="13.5" customHeight="1">
      <c r="A44" s="95">
        <v>31</v>
      </c>
      <c r="B44" s="104" t="s">
        <v>237</v>
      </c>
      <c r="C44" s="79" t="s">
        <v>236</v>
      </c>
      <c r="D44" s="80" t="s">
        <v>50</v>
      </c>
      <c r="E44" s="95">
        <v>1</v>
      </c>
      <c r="F44" s="95" t="s">
        <v>374</v>
      </c>
      <c r="G44" s="95">
        <v>19</v>
      </c>
      <c r="H44" s="95">
        <v>4.37</v>
      </c>
      <c r="I44" s="68">
        <v>17697</v>
      </c>
      <c r="J44" s="96">
        <v>2</v>
      </c>
      <c r="K44" s="68">
        <f t="shared" si="15"/>
        <v>154671.78</v>
      </c>
      <c r="L44" s="68">
        <f t="shared" si="2"/>
        <v>38667.945</v>
      </c>
      <c r="M44" s="68">
        <f t="shared" si="16"/>
        <v>193339.72500000001</v>
      </c>
      <c r="N44" s="68"/>
      <c r="O44" s="68">
        <f t="shared" si="24"/>
        <v>193339.72500000001</v>
      </c>
      <c r="P44" s="68">
        <f t="shared" si="22"/>
        <v>19333.9725</v>
      </c>
      <c r="Q44" s="68">
        <f t="shared" si="25"/>
        <v>38667.945</v>
      </c>
      <c r="R44" s="66"/>
      <c r="S44" s="66"/>
      <c r="T44" s="66"/>
      <c r="U44" s="66"/>
      <c r="V44" s="66"/>
      <c r="W44" s="66"/>
      <c r="X44" s="66"/>
      <c r="Y44" s="66"/>
      <c r="Z44" s="66">
        <f>M44*35%</f>
        <v>67668.903749999998</v>
      </c>
      <c r="AA44" s="66"/>
      <c r="AB44" s="66"/>
      <c r="AC44" s="66"/>
      <c r="AD44" s="109">
        <f t="shared" si="7"/>
        <v>319010.54625000001</v>
      </c>
      <c r="AE44" s="109">
        <f t="shared" si="8"/>
        <v>3828.1265550000003</v>
      </c>
    </row>
    <row r="45" spans="1:31" s="105" customFormat="1" ht="13.5" customHeight="1">
      <c r="A45" s="95">
        <v>32</v>
      </c>
      <c r="B45" s="104" t="s">
        <v>239</v>
      </c>
      <c r="C45" s="79" t="s">
        <v>236</v>
      </c>
      <c r="D45" s="80" t="s">
        <v>50</v>
      </c>
      <c r="E45" s="95">
        <v>1</v>
      </c>
      <c r="F45" s="95" t="s">
        <v>238</v>
      </c>
      <c r="G45" s="95">
        <v>16</v>
      </c>
      <c r="H45" s="96">
        <v>4.0599999999999996</v>
      </c>
      <c r="I45" s="68">
        <v>17697</v>
      </c>
      <c r="J45" s="96">
        <v>2</v>
      </c>
      <c r="K45" s="68">
        <f t="shared" si="15"/>
        <v>143699.63999999998</v>
      </c>
      <c r="L45" s="68">
        <f t="shared" si="2"/>
        <v>35924.909999999996</v>
      </c>
      <c r="M45" s="68">
        <f t="shared" si="16"/>
        <v>179624.55</v>
      </c>
      <c r="N45" s="68"/>
      <c r="O45" s="68">
        <f t="shared" si="24"/>
        <v>179624.55</v>
      </c>
      <c r="P45" s="68">
        <f t="shared" si="22"/>
        <v>17962.454999999998</v>
      </c>
      <c r="Q45" s="68">
        <f t="shared" si="25"/>
        <v>35924.909999999996</v>
      </c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109">
        <f t="shared" si="7"/>
        <v>233511.91499999998</v>
      </c>
      <c r="AE45" s="109">
        <f t="shared" si="8"/>
        <v>2802.1429799999996</v>
      </c>
    </row>
    <row r="46" spans="1:31" s="105" customFormat="1" ht="13.5" customHeight="1">
      <c r="A46" s="95">
        <v>33</v>
      </c>
      <c r="B46" s="104" t="s">
        <v>240</v>
      </c>
      <c r="C46" s="79" t="s">
        <v>236</v>
      </c>
      <c r="D46" s="80" t="s">
        <v>50</v>
      </c>
      <c r="E46" s="95">
        <v>1</v>
      </c>
      <c r="F46" s="95" t="s">
        <v>238</v>
      </c>
      <c r="G46" s="95">
        <v>8.07</v>
      </c>
      <c r="H46" s="95">
        <v>3.85</v>
      </c>
      <c r="I46" s="68">
        <v>17697</v>
      </c>
      <c r="J46" s="96">
        <v>2</v>
      </c>
      <c r="K46" s="68">
        <f t="shared" si="15"/>
        <v>136266.9</v>
      </c>
      <c r="L46" s="68">
        <f t="shared" si="2"/>
        <v>34066.724999999999</v>
      </c>
      <c r="M46" s="68">
        <f t="shared" si="16"/>
        <v>170333.625</v>
      </c>
      <c r="N46" s="68"/>
      <c r="O46" s="68">
        <f t="shared" si="24"/>
        <v>170333.625</v>
      </c>
      <c r="P46" s="68">
        <f t="shared" si="22"/>
        <v>17033.362499999999</v>
      </c>
      <c r="Q46" s="68">
        <f t="shared" si="25"/>
        <v>34066.724999999999</v>
      </c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109">
        <f t="shared" si="7"/>
        <v>221433.71249999999</v>
      </c>
      <c r="AE46" s="109">
        <f t="shared" si="8"/>
        <v>2657.2045499999999</v>
      </c>
    </row>
    <row r="47" spans="1:31" s="105" customFormat="1" ht="13.5" customHeight="1">
      <c r="A47" s="95">
        <v>34</v>
      </c>
      <c r="B47" s="464" t="s">
        <v>241</v>
      </c>
      <c r="C47" s="79" t="s">
        <v>236</v>
      </c>
      <c r="D47" s="80" t="s">
        <v>50</v>
      </c>
      <c r="E47" s="95">
        <v>1</v>
      </c>
      <c r="F47" s="95" t="s">
        <v>242</v>
      </c>
      <c r="G47" s="95">
        <v>8</v>
      </c>
      <c r="H47" s="95">
        <v>4.1399999999999997</v>
      </c>
      <c r="I47" s="68">
        <v>17697</v>
      </c>
      <c r="J47" s="96">
        <v>2</v>
      </c>
      <c r="K47" s="68">
        <f t="shared" si="15"/>
        <v>146531.15999999997</v>
      </c>
      <c r="L47" s="68">
        <f t="shared" si="2"/>
        <v>36632.789999999994</v>
      </c>
      <c r="M47" s="68">
        <f t="shared" si="16"/>
        <v>183163.94999999995</v>
      </c>
      <c r="N47" s="68"/>
      <c r="O47" s="68">
        <f t="shared" si="24"/>
        <v>183163.94999999995</v>
      </c>
      <c r="P47" s="68">
        <f t="shared" si="22"/>
        <v>18316.394999999997</v>
      </c>
      <c r="Q47" s="68">
        <f t="shared" si="25"/>
        <v>36632.789999999994</v>
      </c>
      <c r="R47" s="66"/>
      <c r="S47" s="66"/>
      <c r="T47" s="66"/>
      <c r="U47" s="66"/>
      <c r="V47" s="66"/>
      <c r="W47" s="66"/>
      <c r="X47" s="66"/>
      <c r="Y47" s="66">
        <f>M47*30%</f>
        <v>54949.184999999983</v>
      </c>
      <c r="Z47" s="66"/>
      <c r="AA47" s="66"/>
      <c r="AB47" s="66"/>
      <c r="AC47" s="66"/>
      <c r="AD47" s="109">
        <f t="shared" si="7"/>
        <v>293062.31999999995</v>
      </c>
      <c r="AE47" s="109">
        <f t="shared" si="8"/>
        <v>3516.7478399999995</v>
      </c>
    </row>
    <row r="48" spans="1:31" s="105" customFormat="1" ht="13.5" customHeight="1">
      <c r="A48" s="95">
        <v>35</v>
      </c>
      <c r="B48" s="104" t="s">
        <v>107</v>
      </c>
      <c r="C48" s="79" t="s">
        <v>236</v>
      </c>
      <c r="D48" s="80" t="s">
        <v>50</v>
      </c>
      <c r="E48" s="95">
        <v>1</v>
      </c>
      <c r="F48" s="95" t="s">
        <v>238</v>
      </c>
      <c r="G48" s="95">
        <v>5.5</v>
      </c>
      <c r="H48" s="95">
        <v>3.78</v>
      </c>
      <c r="I48" s="68">
        <v>17697</v>
      </c>
      <c r="J48" s="96">
        <v>2</v>
      </c>
      <c r="K48" s="68">
        <f t="shared" si="15"/>
        <v>133789.32</v>
      </c>
      <c r="L48" s="68">
        <f t="shared" si="2"/>
        <v>33447.33</v>
      </c>
      <c r="M48" s="68">
        <f t="shared" si="16"/>
        <v>167236.65000000002</v>
      </c>
      <c r="N48" s="68"/>
      <c r="O48" s="68">
        <f t="shared" si="24"/>
        <v>167236.65000000002</v>
      </c>
      <c r="P48" s="68">
        <f t="shared" si="22"/>
        <v>16723.665000000005</v>
      </c>
      <c r="Q48" s="68">
        <f t="shared" si="25"/>
        <v>33447.330000000009</v>
      </c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109">
        <f t="shared" si="7"/>
        <v>217407.64500000005</v>
      </c>
      <c r="AE48" s="109">
        <f t="shared" si="8"/>
        <v>2608.8917400000005</v>
      </c>
    </row>
    <row r="49" spans="1:31" s="105" customFormat="1">
      <c r="A49" s="362"/>
      <c r="B49" s="548" t="s">
        <v>377</v>
      </c>
      <c r="C49" s="550"/>
      <c r="D49" s="53"/>
      <c r="E49" s="370">
        <f>SUM(E22:E48)</f>
        <v>25.75</v>
      </c>
      <c r="F49" s="371"/>
      <c r="G49" s="371"/>
      <c r="H49" s="371"/>
      <c r="I49" s="371"/>
      <c r="J49" s="371"/>
      <c r="K49" s="371">
        <f t="shared" ref="K49:AE49" si="26">SUM(K22:K48)</f>
        <v>3775389.4949999996</v>
      </c>
      <c r="L49" s="371">
        <f t="shared" si="26"/>
        <v>943847.37374999991</v>
      </c>
      <c r="M49" s="371">
        <f t="shared" si="26"/>
        <v>4719236.8687500004</v>
      </c>
      <c r="N49" s="371">
        <f t="shared" si="26"/>
        <v>5.2</v>
      </c>
      <c r="O49" s="371">
        <f t="shared" si="26"/>
        <v>4923769.94625</v>
      </c>
      <c r="P49" s="371">
        <f t="shared" si="26"/>
        <v>471923.68687499996</v>
      </c>
      <c r="Q49" s="371">
        <f t="shared" si="26"/>
        <v>943847.37374999991</v>
      </c>
      <c r="R49" s="371">
        <f t="shared" si="26"/>
        <v>0</v>
      </c>
      <c r="S49" s="371">
        <f t="shared" si="26"/>
        <v>67425.569999999992</v>
      </c>
      <c r="T49" s="371">
        <f t="shared" si="26"/>
        <v>0</v>
      </c>
      <c r="U49" s="371">
        <f t="shared" si="26"/>
        <v>0</v>
      </c>
      <c r="V49" s="371">
        <f t="shared" si="26"/>
        <v>0</v>
      </c>
      <c r="W49" s="371">
        <f t="shared" si="26"/>
        <v>0</v>
      </c>
      <c r="X49" s="371">
        <f t="shared" si="26"/>
        <v>0</v>
      </c>
      <c r="Y49" s="371">
        <f t="shared" si="26"/>
        <v>177323.93999999994</v>
      </c>
      <c r="Z49" s="371">
        <f t="shared" si="26"/>
        <v>289876.86</v>
      </c>
      <c r="AA49" s="371">
        <f t="shared" si="26"/>
        <v>125560.215</v>
      </c>
      <c r="AB49" s="371">
        <f t="shared" si="26"/>
        <v>0</v>
      </c>
      <c r="AC49" s="371">
        <f t="shared" si="26"/>
        <v>0</v>
      </c>
      <c r="AD49" s="371">
        <f t="shared" si="26"/>
        <v>6999727.5918749999</v>
      </c>
      <c r="AE49" s="371">
        <f t="shared" si="26"/>
        <v>83996.731102500009</v>
      </c>
    </row>
    <row r="50" spans="1:31" s="105" customFormat="1" ht="13.5" customHeight="1">
      <c r="A50" s="95">
        <v>36</v>
      </c>
      <c r="B50" s="99" t="s">
        <v>244</v>
      </c>
      <c r="C50" s="104" t="s">
        <v>243</v>
      </c>
      <c r="D50" s="100" t="s">
        <v>245</v>
      </c>
      <c r="E50" s="95">
        <v>1</v>
      </c>
      <c r="F50" s="95" t="s">
        <v>246</v>
      </c>
      <c r="G50" s="319" t="s">
        <v>801</v>
      </c>
      <c r="H50" s="314">
        <v>4.75</v>
      </c>
      <c r="I50" s="68">
        <v>17697</v>
      </c>
      <c r="J50" s="96">
        <v>1.45</v>
      </c>
      <c r="K50" s="68">
        <f t="shared" ref="K50" si="27">I50*E50*H50*J50</f>
        <v>121888.08749999999</v>
      </c>
      <c r="L50" s="68">
        <f t="shared" si="2"/>
        <v>30472.021874999999</v>
      </c>
      <c r="M50" s="68">
        <f t="shared" ref="M50" si="28">K50+L50</f>
        <v>152360.109375</v>
      </c>
      <c r="N50" s="68"/>
      <c r="O50" s="68">
        <f t="shared" ref="O50" si="29">M50</f>
        <v>152360.109375</v>
      </c>
      <c r="P50" s="68">
        <f t="shared" si="22"/>
        <v>15236.010937500001</v>
      </c>
      <c r="Q50" s="68">
        <f t="shared" ref="Q50" si="30">O50*20%</f>
        <v>30472.021875000002</v>
      </c>
      <c r="R50" s="66"/>
      <c r="S50" s="66"/>
      <c r="T50" s="66"/>
      <c r="U50" s="66"/>
      <c r="V50" s="66"/>
      <c r="W50" s="66">
        <v>5309</v>
      </c>
      <c r="X50" s="66"/>
      <c r="Y50" s="66"/>
      <c r="Z50" s="66"/>
      <c r="AA50" s="66"/>
      <c r="AB50" s="66"/>
      <c r="AC50" s="66"/>
      <c r="AD50" s="109">
        <f t="shared" si="7"/>
        <v>203377.14218749999</v>
      </c>
      <c r="AE50" s="109">
        <f t="shared" si="8"/>
        <v>2440.52570625</v>
      </c>
    </row>
    <row r="51" spans="1:31" s="105" customFormat="1" ht="13.5" customHeight="1">
      <c r="A51" s="95">
        <v>37</v>
      </c>
      <c r="B51" s="101" t="s">
        <v>107</v>
      </c>
      <c r="C51" s="104" t="s">
        <v>247</v>
      </c>
      <c r="D51" s="100" t="s">
        <v>245</v>
      </c>
      <c r="E51" s="95">
        <v>1</v>
      </c>
      <c r="F51" s="95" t="s">
        <v>248</v>
      </c>
      <c r="G51" s="319" t="s">
        <v>802</v>
      </c>
      <c r="H51" s="314">
        <v>4.43</v>
      </c>
      <c r="I51" s="68">
        <v>17697</v>
      </c>
      <c r="J51" s="96">
        <v>1.45</v>
      </c>
      <c r="K51" s="68">
        <f t="shared" ref="K51:K76" si="31">I51*E51*H51*J51</f>
        <v>113676.67949999998</v>
      </c>
      <c r="L51" s="68">
        <f t="shared" si="2"/>
        <v>28419.169874999996</v>
      </c>
      <c r="M51" s="68">
        <f t="shared" ref="M51:M76" si="32">K51+L51</f>
        <v>142095.84937499999</v>
      </c>
      <c r="N51" s="68"/>
      <c r="O51" s="68">
        <f t="shared" ref="O51:O76" si="33">M51</f>
        <v>142095.84937499999</v>
      </c>
      <c r="P51" s="68">
        <f t="shared" si="22"/>
        <v>14209.5849375</v>
      </c>
      <c r="Q51" s="68">
        <f t="shared" ref="Q51:Q76" si="34">O51*20%</f>
        <v>28419.169875</v>
      </c>
      <c r="R51" s="66"/>
      <c r="S51" s="66"/>
      <c r="T51" s="66"/>
      <c r="U51" s="66"/>
      <c r="V51" s="66"/>
      <c r="W51" s="66">
        <v>5309</v>
      </c>
      <c r="X51" s="66"/>
      <c r="Y51" s="66"/>
      <c r="Z51" s="66"/>
      <c r="AA51" s="66"/>
      <c r="AB51" s="66"/>
      <c r="AC51" s="66"/>
      <c r="AD51" s="109">
        <f t="shared" si="7"/>
        <v>190033.60418749999</v>
      </c>
      <c r="AE51" s="109">
        <f t="shared" si="8"/>
        <v>2280.4032502499999</v>
      </c>
    </row>
    <row r="52" spans="1:31" s="105" customFormat="1" ht="13.5" customHeight="1">
      <c r="A52" s="95">
        <v>38</v>
      </c>
      <c r="B52" s="79" t="s">
        <v>250</v>
      </c>
      <c r="C52" s="79" t="s">
        <v>249</v>
      </c>
      <c r="D52" s="100" t="s">
        <v>245</v>
      </c>
      <c r="E52" s="95">
        <v>1</v>
      </c>
      <c r="F52" s="95" t="s">
        <v>238</v>
      </c>
      <c r="G52" s="95">
        <v>10.01</v>
      </c>
      <c r="H52" s="96">
        <v>3.94</v>
      </c>
      <c r="I52" s="68">
        <v>17697</v>
      </c>
      <c r="J52" s="96">
        <v>1.45</v>
      </c>
      <c r="K52" s="68">
        <f t="shared" si="31"/>
        <v>101102.96099999998</v>
      </c>
      <c r="L52" s="68">
        <f t="shared" si="2"/>
        <v>25275.740249999995</v>
      </c>
      <c r="M52" s="68">
        <f t="shared" si="32"/>
        <v>126378.70124999998</v>
      </c>
      <c r="N52" s="68"/>
      <c r="O52" s="68">
        <f t="shared" si="33"/>
        <v>126378.70124999998</v>
      </c>
      <c r="P52" s="68">
        <f t="shared" si="22"/>
        <v>12637.870124999999</v>
      </c>
      <c r="Q52" s="68">
        <f t="shared" si="34"/>
        <v>25275.740249999999</v>
      </c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109">
        <f t="shared" si="7"/>
        <v>164292.31162499997</v>
      </c>
      <c r="AE52" s="109">
        <f t="shared" si="8"/>
        <v>1971.5077394999996</v>
      </c>
    </row>
    <row r="53" spans="1:31" s="105" customFormat="1" ht="13.5" customHeight="1">
      <c r="A53" s="95">
        <v>39</v>
      </c>
      <c r="B53" s="79" t="s">
        <v>107</v>
      </c>
      <c r="C53" s="79" t="s">
        <v>249</v>
      </c>
      <c r="D53" s="100" t="s">
        <v>245</v>
      </c>
      <c r="E53" s="95">
        <v>1</v>
      </c>
      <c r="F53" s="95" t="s">
        <v>238</v>
      </c>
      <c r="G53" s="319" t="s">
        <v>767</v>
      </c>
      <c r="H53" s="96">
        <v>3.85</v>
      </c>
      <c r="I53" s="68">
        <v>17697</v>
      </c>
      <c r="J53" s="96">
        <v>1.45</v>
      </c>
      <c r="K53" s="68">
        <f t="shared" si="31"/>
        <v>98793.502499999988</v>
      </c>
      <c r="L53" s="68">
        <f t="shared" si="2"/>
        <v>24698.375624999997</v>
      </c>
      <c r="M53" s="68">
        <f t="shared" si="32"/>
        <v>123491.87812499999</v>
      </c>
      <c r="N53" s="68"/>
      <c r="O53" s="68">
        <f t="shared" si="33"/>
        <v>123491.87812499999</v>
      </c>
      <c r="P53" s="68">
        <f t="shared" si="22"/>
        <v>12349.1878125</v>
      </c>
      <c r="Q53" s="68">
        <f t="shared" si="34"/>
        <v>24698.375625000001</v>
      </c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109">
        <f t="shared" si="7"/>
        <v>160539.44156249997</v>
      </c>
      <c r="AE53" s="109">
        <f t="shared" si="8"/>
        <v>1926.4732987499997</v>
      </c>
    </row>
    <row r="54" spans="1:31" s="105" customFormat="1" ht="13.5" customHeight="1">
      <c r="A54" s="95">
        <v>40</v>
      </c>
      <c r="B54" s="79" t="s">
        <v>251</v>
      </c>
      <c r="C54" s="79" t="s">
        <v>249</v>
      </c>
      <c r="D54" s="100" t="s">
        <v>245</v>
      </c>
      <c r="E54" s="95">
        <v>1</v>
      </c>
      <c r="F54" s="95" t="s">
        <v>238</v>
      </c>
      <c r="G54" s="95">
        <v>15.1</v>
      </c>
      <c r="H54" s="96">
        <v>4</v>
      </c>
      <c r="I54" s="68">
        <v>17697</v>
      </c>
      <c r="J54" s="96">
        <v>1.45</v>
      </c>
      <c r="K54" s="68">
        <f t="shared" si="31"/>
        <v>102642.59999999999</v>
      </c>
      <c r="L54" s="68">
        <f t="shared" si="2"/>
        <v>25660.649999999998</v>
      </c>
      <c r="M54" s="68">
        <f t="shared" si="32"/>
        <v>128303.24999999999</v>
      </c>
      <c r="N54" s="68"/>
      <c r="O54" s="68">
        <f t="shared" si="33"/>
        <v>128303.24999999999</v>
      </c>
      <c r="P54" s="68">
        <f t="shared" si="22"/>
        <v>12830.324999999999</v>
      </c>
      <c r="Q54" s="68">
        <f t="shared" si="34"/>
        <v>25660.649999999998</v>
      </c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109">
        <f t="shared" si="7"/>
        <v>166794.22499999998</v>
      </c>
      <c r="AE54" s="109">
        <f t="shared" si="8"/>
        <v>2001.5306999999998</v>
      </c>
    </row>
    <row r="55" spans="1:31" s="105" customFormat="1" ht="13.5" customHeight="1">
      <c r="A55" s="95">
        <v>41</v>
      </c>
      <c r="B55" s="79" t="s">
        <v>107</v>
      </c>
      <c r="C55" s="79" t="s">
        <v>249</v>
      </c>
      <c r="D55" s="100" t="s">
        <v>245</v>
      </c>
      <c r="E55" s="95">
        <v>1</v>
      </c>
      <c r="F55" s="95" t="s">
        <v>238</v>
      </c>
      <c r="G55" s="319" t="s">
        <v>768</v>
      </c>
      <c r="H55" s="95">
        <v>3.85</v>
      </c>
      <c r="I55" s="68">
        <v>17697</v>
      </c>
      <c r="J55" s="96">
        <v>1.45</v>
      </c>
      <c r="K55" s="68">
        <f t="shared" si="31"/>
        <v>98793.502499999988</v>
      </c>
      <c r="L55" s="68">
        <f t="shared" si="2"/>
        <v>24698.375624999997</v>
      </c>
      <c r="M55" s="68">
        <f t="shared" si="32"/>
        <v>123491.87812499999</v>
      </c>
      <c r="N55" s="68"/>
      <c r="O55" s="68">
        <f t="shared" si="33"/>
        <v>123491.87812499999</v>
      </c>
      <c r="P55" s="68">
        <f t="shared" si="22"/>
        <v>12349.1878125</v>
      </c>
      <c r="Q55" s="68">
        <f t="shared" si="34"/>
        <v>24698.375625000001</v>
      </c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109">
        <f t="shared" si="7"/>
        <v>160539.44156249997</v>
      </c>
      <c r="AE55" s="109">
        <f t="shared" si="8"/>
        <v>1926.4732987499997</v>
      </c>
    </row>
    <row r="56" spans="1:31" s="105" customFormat="1" ht="13.5" customHeight="1">
      <c r="A56" s="95">
        <v>42</v>
      </c>
      <c r="B56" s="79" t="s">
        <v>773</v>
      </c>
      <c r="C56" s="79" t="s">
        <v>249</v>
      </c>
      <c r="D56" s="100" t="s">
        <v>245</v>
      </c>
      <c r="E56" s="95">
        <v>0.5</v>
      </c>
      <c r="F56" s="95" t="s">
        <v>238</v>
      </c>
      <c r="G56" s="95">
        <v>6.05</v>
      </c>
      <c r="H56" s="95">
        <v>3.78</v>
      </c>
      <c r="I56" s="68">
        <v>17697</v>
      </c>
      <c r="J56" s="96">
        <v>1.45</v>
      </c>
      <c r="K56" s="68">
        <f t="shared" si="31"/>
        <v>48498.628499999999</v>
      </c>
      <c r="L56" s="68">
        <f t="shared" si="2"/>
        <v>12124.657125</v>
      </c>
      <c r="M56" s="68">
        <f t="shared" si="32"/>
        <v>60623.285624999997</v>
      </c>
      <c r="N56" s="68"/>
      <c r="O56" s="68">
        <f t="shared" si="33"/>
        <v>60623.285624999997</v>
      </c>
      <c r="P56" s="68">
        <f t="shared" si="22"/>
        <v>6062.3285624999999</v>
      </c>
      <c r="Q56" s="68">
        <f t="shared" si="34"/>
        <v>12124.657125</v>
      </c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109">
        <f t="shared" si="7"/>
        <v>78810.271312500001</v>
      </c>
      <c r="AE56" s="109">
        <f t="shared" si="8"/>
        <v>945.72325575000002</v>
      </c>
    </row>
    <row r="57" spans="1:31" s="105" customFormat="1" ht="13.5" customHeight="1">
      <c r="A57" s="95">
        <v>43</v>
      </c>
      <c r="B57" s="79" t="s">
        <v>253</v>
      </c>
      <c r="C57" s="79" t="s">
        <v>252</v>
      </c>
      <c r="D57" s="100" t="s">
        <v>245</v>
      </c>
      <c r="E57" s="95">
        <v>1</v>
      </c>
      <c r="F57" s="95" t="s">
        <v>238</v>
      </c>
      <c r="G57" s="95">
        <v>6.09</v>
      </c>
      <c r="H57" s="95">
        <v>3.78</v>
      </c>
      <c r="I57" s="68">
        <v>17697</v>
      </c>
      <c r="J57" s="96">
        <v>1.45</v>
      </c>
      <c r="K57" s="68">
        <f t="shared" si="31"/>
        <v>96997.256999999998</v>
      </c>
      <c r="L57" s="68">
        <f t="shared" si="2"/>
        <v>24249.314249999999</v>
      </c>
      <c r="M57" s="68">
        <f t="shared" si="32"/>
        <v>121246.57124999999</v>
      </c>
      <c r="N57" s="68"/>
      <c r="O57" s="68">
        <f t="shared" si="33"/>
        <v>121246.57124999999</v>
      </c>
      <c r="P57" s="68">
        <f t="shared" si="22"/>
        <v>12124.657125</v>
      </c>
      <c r="Q57" s="68">
        <f t="shared" si="34"/>
        <v>24249.314249999999</v>
      </c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109">
        <f t="shared" si="7"/>
        <v>157620.542625</v>
      </c>
      <c r="AE57" s="109">
        <f t="shared" si="8"/>
        <v>1891.4465115</v>
      </c>
    </row>
    <row r="58" spans="1:31" s="105" customFormat="1" ht="13.5" customHeight="1">
      <c r="A58" s="95">
        <v>44</v>
      </c>
      <c r="B58" s="79" t="s">
        <v>254</v>
      </c>
      <c r="C58" s="79" t="s">
        <v>252</v>
      </c>
      <c r="D58" s="100" t="s">
        <v>245</v>
      </c>
      <c r="E58" s="95">
        <v>1</v>
      </c>
      <c r="F58" s="95" t="s">
        <v>238</v>
      </c>
      <c r="G58" s="95">
        <v>21.06</v>
      </c>
      <c r="H58" s="95">
        <v>4.12</v>
      </c>
      <c r="I58" s="68">
        <v>17697</v>
      </c>
      <c r="J58" s="96">
        <v>1.45</v>
      </c>
      <c r="K58" s="68">
        <f t="shared" si="31"/>
        <v>105721.878</v>
      </c>
      <c r="L58" s="68">
        <f t="shared" si="2"/>
        <v>26430.469499999999</v>
      </c>
      <c r="M58" s="68">
        <f t="shared" si="32"/>
        <v>132152.3475</v>
      </c>
      <c r="N58" s="68"/>
      <c r="O58" s="68">
        <f t="shared" si="33"/>
        <v>132152.3475</v>
      </c>
      <c r="P58" s="68">
        <f t="shared" si="22"/>
        <v>13215.234750000001</v>
      </c>
      <c r="Q58" s="68">
        <f t="shared" si="34"/>
        <v>26430.469500000003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109">
        <f t="shared" si="7"/>
        <v>171798.05175000001</v>
      </c>
      <c r="AE58" s="109">
        <f t="shared" si="8"/>
        <v>2061.5766210000002</v>
      </c>
    </row>
    <row r="59" spans="1:31" s="105" customFormat="1" ht="13.5" customHeight="1">
      <c r="A59" s="95">
        <v>45</v>
      </c>
      <c r="B59" s="79" t="s">
        <v>255</v>
      </c>
      <c r="C59" s="79" t="s">
        <v>252</v>
      </c>
      <c r="D59" s="100" t="s">
        <v>245</v>
      </c>
      <c r="E59" s="95">
        <v>1</v>
      </c>
      <c r="F59" s="95" t="s">
        <v>238</v>
      </c>
      <c r="G59" s="95">
        <v>17.100000000000001</v>
      </c>
      <c r="H59" s="95">
        <v>4.0599999999999996</v>
      </c>
      <c r="I59" s="68">
        <v>17697</v>
      </c>
      <c r="J59" s="96">
        <v>1.45</v>
      </c>
      <c r="K59" s="68">
        <f t="shared" si="31"/>
        <v>104182.23899999999</v>
      </c>
      <c r="L59" s="68">
        <f t="shared" si="2"/>
        <v>26045.559749999997</v>
      </c>
      <c r="M59" s="68">
        <f t="shared" si="32"/>
        <v>130227.79874999999</v>
      </c>
      <c r="N59" s="68"/>
      <c r="O59" s="68">
        <f t="shared" si="33"/>
        <v>130227.79874999999</v>
      </c>
      <c r="P59" s="68">
        <f t="shared" si="22"/>
        <v>13022.779875</v>
      </c>
      <c r="Q59" s="68">
        <f t="shared" si="34"/>
        <v>26045.55975</v>
      </c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109">
        <f t="shared" si="7"/>
        <v>169296.13837499998</v>
      </c>
      <c r="AE59" s="109">
        <f t="shared" si="8"/>
        <v>2031.5536604999998</v>
      </c>
    </row>
    <row r="60" spans="1:31" s="105" customFormat="1" ht="13.5" customHeight="1">
      <c r="A60" s="95">
        <v>46</v>
      </c>
      <c r="B60" s="79" t="s">
        <v>471</v>
      </c>
      <c r="C60" s="79" t="s">
        <v>252</v>
      </c>
      <c r="D60" s="100" t="s">
        <v>245</v>
      </c>
      <c r="E60" s="95">
        <v>1</v>
      </c>
      <c r="F60" s="95" t="s">
        <v>238</v>
      </c>
      <c r="G60" s="95">
        <v>14.1</v>
      </c>
      <c r="H60" s="96">
        <v>4</v>
      </c>
      <c r="I60" s="68">
        <v>17697</v>
      </c>
      <c r="J60" s="96">
        <v>1.45</v>
      </c>
      <c r="K60" s="68">
        <f t="shared" si="31"/>
        <v>102642.59999999999</v>
      </c>
      <c r="L60" s="68">
        <f t="shared" si="2"/>
        <v>25660.649999999998</v>
      </c>
      <c r="M60" s="68">
        <f t="shared" si="32"/>
        <v>128303.24999999999</v>
      </c>
      <c r="N60" s="68"/>
      <c r="O60" s="68">
        <f t="shared" si="33"/>
        <v>128303.24999999999</v>
      </c>
      <c r="P60" s="68">
        <f t="shared" si="22"/>
        <v>12830.324999999999</v>
      </c>
      <c r="Q60" s="68">
        <f t="shared" si="34"/>
        <v>25660.649999999998</v>
      </c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109">
        <f t="shared" si="7"/>
        <v>166794.22499999998</v>
      </c>
      <c r="AE60" s="109">
        <f t="shared" si="8"/>
        <v>2001.5306999999998</v>
      </c>
    </row>
    <row r="61" spans="1:31" s="105" customFormat="1" ht="13.5" customHeight="1">
      <c r="A61" s="95">
        <v>47</v>
      </c>
      <c r="B61" s="79" t="s">
        <v>256</v>
      </c>
      <c r="C61" s="79" t="s">
        <v>252</v>
      </c>
      <c r="D61" s="100" t="s">
        <v>245</v>
      </c>
      <c r="E61" s="95">
        <v>1</v>
      </c>
      <c r="F61" s="95" t="s">
        <v>238</v>
      </c>
      <c r="G61" s="319" t="s">
        <v>769</v>
      </c>
      <c r="H61" s="95">
        <v>3.85</v>
      </c>
      <c r="I61" s="68">
        <v>17697</v>
      </c>
      <c r="J61" s="96">
        <v>1.45</v>
      </c>
      <c r="K61" s="68">
        <f t="shared" si="31"/>
        <v>98793.502499999988</v>
      </c>
      <c r="L61" s="68">
        <f t="shared" si="2"/>
        <v>24698.375624999997</v>
      </c>
      <c r="M61" s="68">
        <f t="shared" si="32"/>
        <v>123491.87812499999</v>
      </c>
      <c r="N61" s="68"/>
      <c r="O61" s="68">
        <f t="shared" si="33"/>
        <v>123491.87812499999</v>
      </c>
      <c r="P61" s="68">
        <f t="shared" si="22"/>
        <v>12349.1878125</v>
      </c>
      <c r="Q61" s="68">
        <f t="shared" si="34"/>
        <v>24698.375625000001</v>
      </c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109">
        <f t="shared" si="7"/>
        <v>160539.44156249997</v>
      </c>
      <c r="AE61" s="109">
        <f t="shared" si="8"/>
        <v>1926.4732987499997</v>
      </c>
    </row>
    <row r="62" spans="1:31" s="105" customFormat="1" ht="13.5" customHeight="1">
      <c r="A62" s="95">
        <v>48</v>
      </c>
      <c r="B62" s="79" t="s">
        <v>258</v>
      </c>
      <c r="C62" s="79" t="s">
        <v>257</v>
      </c>
      <c r="D62" s="100" t="s">
        <v>245</v>
      </c>
      <c r="E62" s="95">
        <v>1</v>
      </c>
      <c r="F62" s="95" t="s">
        <v>238</v>
      </c>
      <c r="G62" s="95">
        <v>15.11</v>
      </c>
      <c r="H62" s="96">
        <v>4</v>
      </c>
      <c r="I62" s="68">
        <v>17697</v>
      </c>
      <c r="J62" s="96">
        <v>1.45</v>
      </c>
      <c r="K62" s="68">
        <f t="shared" si="31"/>
        <v>102642.59999999999</v>
      </c>
      <c r="L62" s="68">
        <f t="shared" si="2"/>
        <v>25660.649999999998</v>
      </c>
      <c r="M62" s="68">
        <f t="shared" si="32"/>
        <v>128303.24999999999</v>
      </c>
      <c r="N62" s="68"/>
      <c r="O62" s="68">
        <f t="shared" si="33"/>
        <v>128303.24999999999</v>
      </c>
      <c r="P62" s="68">
        <f t="shared" si="22"/>
        <v>12830.324999999999</v>
      </c>
      <c r="Q62" s="68">
        <f t="shared" si="34"/>
        <v>25660.649999999998</v>
      </c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109">
        <f t="shared" si="7"/>
        <v>166794.22499999998</v>
      </c>
      <c r="AE62" s="109">
        <f t="shared" si="8"/>
        <v>2001.5306999999998</v>
      </c>
    </row>
    <row r="63" spans="1:31" s="105" customFormat="1" ht="13.5" customHeight="1">
      <c r="A63" s="95">
        <v>49</v>
      </c>
      <c r="B63" s="79" t="s">
        <v>178</v>
      </c>
      <c r="C63" s="79" t="s">
        <v>257</v>
      </c>
      <c r="D63" s="100" t="s">
        <v>245</v>
      </c>
      <c r="E63" s="95">
        <v>1</v>
      </c>
      <c r="F63" s="95" t="s">
        <v>238</v>
      </c>
      <c r="G63" s="96">
        <v>0</v>
      </c>
      <c r="H63" s="96">
        <v>3.52</v>
      </c>
      <c r="I63" s="68">
        <v>17697</v>
      </c>
      <c r="J63" s="96">
        <v>1.45</v>
      </c>
      <c r="K63" s="68">
        <f t="shared" si="31"/>
        <v>90325.487999999998</v>
      </c>
      <c r="L63" s="68">
        <f t="shared" si="2"/>
        <v>22581.371999999999</v>
      </c>
      <c r="M63" s="68">
        <f t="shared" si="32"/>
        <v>112906.86</v>
      </c>
      <c r="N63" s="68"/>
      <c r="O63" s="68">
        <f t="shared" si="33"/>
        <v>112906.86</v>
      </c>
      <c r="P63" s="68">
        <f t="shared" si="22"/>
        <v>11290.686000000002</v>
      </c>
      <c r="Q63" s="68">
        <f t="shared" si="34"/>
        <v>22581.372000000003</v>
      </c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109">
        <f t="shared" si="7"/>
        <v>146778.91800000001</v>
      </c>
      <c r="AE63" s="109">
        <f t="shared" si="8"/>
        <v>1761.3470160000002</v>
      </c>
    </row>
    <row r="64" spans="1:31" s="105" customFormat="1" ht="13.5" customHeight="1">
      <c r="A64" s="95">
        <v>50</v>
      </c>
      <c r="B64" s="79" t="s">
        <v>259</v>
      </c>
      <c r="C64" s="79" t="s">
        <v>257</v>
      </c>
      <c r="D64" s="100" t="s">
        <v>245</v>
      </c>
      <c r="E64" s="95">
        <v>1</v>
      </c>
      <c r="F64" s="95" t="s">
        <v>238</v>
      </c>
      <c r="G64" s="95">
        <v>9.0299999999999994</v>
      </c>
      <c r="H64" s="95">
        <v>3.85</v>
      </c>
      <c r="I64" s="68">
        <v>17697</v>
      </c>
      <c r="J64" s="96">
        <v>1.45</v>
      </c>
      <c r="K64" s="68">
        <f t="shared" si="31"/>
        <v>98793.502499999988</v>
      </c>
      <c r="L64" s="68">
        <f t="shared" si="2"/>
        <v>24698.375624999997</v>
      </c>
      <c r="M64" s="68">
        <f t="shared" si="32"/>
        <v>123491.87812499999</v>
      </c>
      <c r="N64" s="68"/>
      <c r="O64" s="68">
        <f t="shared" si="33"/>
        <v>123491.87812499999</v>
      </c>
      <c r="P64" s="68">
        <f t="shared" si="22"/>
        <v>12349.1878125</v>
      </c>
      <c r="Q64" s="68">
        <f t="shared" si="34"/>
        <v>24698.375625000001</v>
      </c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109">
        <f t="shared" si="7"/>
        <v>160539.44156249997</v>
      </c>
      <c r="AE64" s="109">
        <f t="shared" si="8"/>
        <v>1926.4732987499997</v>
      </c>
    </row>
    <row r="65" spans="1:31" s="105" customFormat="1" ht="13.5" customHeight="1">
      <c r="A65" s="95">
        <v>51</v>
      </c>
      <c r="B65" s="467" t="s">
        <v>830</v>
      </c>
      <c r="C65" s="79" t="s">
        <v>260</v>
      </c>
      <c r="D65" s="100" t="s">
        <v>245</v>
      </c>
      <c r="E65" s="95">
        <v>1</v>
      </c>
      <c r="F65" s="95" t="s">
        <v>238</v>
      </c>
      <c r="G65" s="95">
        <v>13.1</v>
      </c>
      <c r="H65" s="96">
        <v>4</v>
      </c>
      <c r="I65" s="68">
        <v>17697</v>
      </c>
      <c r="J65" s="96">
        <v>1.45</v>
      </c>
      <c r="K65" s="68">
        <f t="shared" si="31"/>
        <v>102642.59999999999</v>
      </c>
      <c r="L65" s="68">
        <f t="shared" si="2"/>
        <v>25660.649999999998</v>
      </c>
      <c r="M65" s="68">
        <f t="shared" si="32"/>
        <v>128303.24999999999</v>
      </c>
      <c r="N65" s="68"/>
      <c r="O65" s="68">
        <f t="shared" si="33"/>
        <v>128303.24999999999</v>
      </c>
      <c r="P65" s="68">
        <f t="shared" si="22"/>
        <v>12830.324999999999</v>
      </c>
      <c r="Q65" s="68">
        <f t="shared" si="34"/>
        <v>25660.649999999998</v>
      </c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109">
        <f t="shared" si="7"/>
        <v>166794.22499999998</v>
      </c>
      <c r="AE65" s="109">
        <f t="shared" si="8"/>
        <v>2001.5306999999998</v>
      </c>
    </row>
    <row r="66" spans="1:31" s="105" customFormat="1" ht="13.5" customHeight="1">
      <c r="A66" s="95">
        <v>52</v>
      </c>
      <c r="B66" s="79" t="s">
        <v>107</v>
      </c>
      <c r="C66" s="79" t="s">
        <v>260</v>
      </c>
      <c r="D66" s="100" t="s">
        <v>245</v>
      </c>
      <c r="E66" s="95">
        <v>1</v>
      </c>
      <c r="F66" s="95" t="s">
        <v>238</v>
      </c>
      <c r="G66" s="95">
        <v>15.08</v>
      </c>
      <c r="H66" s="96">
        <v>4</v>
      </c>
      <c r="I66" s="68">
        <v>17697</v>
      </c>
      <c r="J66" s="96">
        <v>1.45</v>
      </c>
      <c r="K66" s="68">
        <f t="shared" si="31"/>
        <v>102642.59999999999</v>
      </c>
      <c r="L66" s="68">
        <f t="shared" si="2"/>
        <v>25660.649999999998</v>
      </c>
      <c r="M66" s="68">
        <f t="shared" si="32"/>
        <v>128303.24999999999</v>
      </c>
      <c r="N66" s="68"/>
      <c r="O66" s="68">
        <f t="shared" si="33"/>
        <v>128303.24999999999</v>
      </c>
      <c r="P66" s="68">
        <f t="shared" si="22"/>
        <v>12830.324999999999</v>
      </c>
      <c r="Q66" s="68">
        <f t="shared" si="34"/>
        <v>25660.649999999998</v>
      </c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109">
        <f t="shared" si="7"/>
        <v>166794.22499999998</v>
      </c>
      <c r="AE66" s="109">
        <f t="shared" si="8"/>
        <v>2001.5306999999998</v>
      </c>
    </row>
    <row r="67" spans="1:31" s="105" customFormat="1" ht="13.5" customHeight="1">
      <c r="A67" s="95">
        <v>53</v>
      </c>
      <c r="B67" s="79" t="s">
        <v>261</v>
      </c>
      <c r="C67" s="79" t="s">
        <v>260</v>
      </c>
      <c r="D67" s="100" t="s">
        <v>245</v>
      </c>
      <c r="E67" s="95">
        <v>1</v>
      </c>
      <c r="F67" s="95" t="s">
        <v>238</v>
      </c>
      <c r="G67" s="96">
        <v>9.07</v>
      </c>
      <c r="H67" s="95">
        <v>3.85</v>
      </c>
      <c r="I67" s="68">
        <v>17697</v>
      </c>
      <c r="J67" s="96">
        <v>1.45</v>
      </c>
      <c r="K67" s="68">
        <f t="shared" si="31"/>
        <v>98793.502499999988</v>
      </c>
      <c r="L67" s="68">
        <f t="shared" si="2"/>
        <v>24698.375624999997</v>
      </c>
      <c r="M67" s="68">
        <f t="shared" si="32"/>
        <v>123491.87812499999</v>
      </c>
      <c r="N67" s="68"/>
      <c r="O67" s="68">
        <f t="shared" si="33"/>
        <v>123491.87812499999</v>
      </c>
      <c r="P67" s="68">
        <f t="shared" si="22"/>
        <v>12349.1878125</v>
      </c>
      <c r="Q67" s="68">
        <f t="shared" si="34"/>
        <v>24698.375625000001</v>
      </c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109">
        <f t="shared" si="7"/>
        <v>160539.44156249997</v>
      </c>
      <c r="AE67" s="109">
        <f t="shared" si="8"/>
        <v>1926.4732987499997</v>
      </c>
    </row>
    <row r="68" spans="1:31" s="105" customFormat="1" ht="13.5" customHeight="1">
      <c r="A68" s="95">
        <v>54</v>
      </c>
      <c r="B68" s="79" t="s">
        <v>262</v>
      </c>
      <c r="C68" s="79" t="s">
        <v>260</v>
      </c>
      <c r="D68" s="100" t="s">
        <v>245</v>
      </c>
      <c r="E68" s="95">
        <v>1</v>
      </c>
      <c r="F68" s="95" t="s">
        <v>238</v>
      </c>
      <c r="G68" s="95">
        <v>8.1</v>
      </c>
      <c r="H68" s="95">
        <v>3.85</v>
      </c>
      <c r="I68" s="68">
        <v>17697</v>
      </c>
      <c r="J68" s="96">
        <v>1.45</v>
      </c>
      <c r="K68" s="68">
        <f t="shared" si="31"/>
        <v>98793.502499999988</v>
      </c>
      <c r="L68" s="68">
        <f t="shared" si="2"/>
        <v>24698.375624999997</v>
      </c>
      <c r="M68" s="68">
        <f t="shared" si="32"/>
        <v>123491.87812499999</v>
      </c>
      <c r="N68" s="68"/>
      <c r="O68" s="68">
        <f t="shared" si="33"/>
        <v>123491.87812499999</v>
      </c>
      <c r="P68" s="68">
        <f t="shared" si="22"/>
        <v>12349.1878125</v>
      </c>
      <c r="Q68" s="68">
        <f t="shared" si="34"/>
        <v>24698.375625000001</v>
      </c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109">
        <f t="shared" si="7"/>
        <v>160539.44156249997</v>
      </c>
      <c r="AE68" s="109">
        <f t="shared" si="8"/>
        <v>1926.4732987499997</v>
      </c>
    </row>
    <row r="69" spans="1:31" s="105" customFormat="1" ht="13.5" customHeight="1">
      <c r="A69" s="95">
        <v>55</v>
      </c>
      <c r="B69" s="79" t="s">
        <v>263</v>
      </c>
      <c r="C69" s="79" t="s">
        <v>260</v>
      </c>
      <c r="D69" s="100" t="s">
        <v>245</v>
      </c>
      <c r="E69" s="95">
        <v>1</v>
      </c>
      <c r="F69" s="95" t="s">
        <v>238</v>
      </c>
      <c r="G69" s="95">
        <v>6.09</v>
      </c>
      <c r="H69" s="95">
        <v>3.78</v>
      </c>
      <c r="I69" s="68">
        <v>17697</v>
      </c>
      <c r="J69" s="96">
        <v>1.45</v>
      </c>
      <c r="K69" s="68">
        <f t="shared" si="31"/>
        <v>96997.256999999998</v>
      </c>
      <c r="L69" s="68">
        <f t="shared" si="2"/>
        <v>24249.314249999999</v>
      </c>
      <c r="M69" s="68">
        <f t="shared" si="32"/>
        <v>121246.57124999999</v>
      </c>
      <c r="N69" s="68"/>
      <c r="O69" s="68">
        <f t="shared" si="33"/>
        <v>121246.57124999999</v>
      </c>
      <c r="P69" s="68">
        <f t="shared" si="22"/>
        <v>12124.657125</v>
      </c>
      <c r="Q69" s="68">
        <f t="shared" si="34"/>
        <v>24249.314249999999</v>
      </c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109">
        <f t="shared" si="7"/>
        <v>157620.542625</v>
      </c>
      <c r="AE69" s="109">
        <f t="shared" si="8"/>
        <v>1891.4465115</v>
      </c>
    </row>
    <row r="70" spans="1:31" s="105" customFormat="1" ht="13.5" customHeight="1">
      <c r="A70" s="95">
        <v>56</v>
      </c>
      <c r="B70" s="79" t="s">
        <v>265</v>
      </c>
      <c r="C70" s="79" t="s">
        <v>264</v>
      </c>
      <c r="D70" s="100" t="s">
        <v>205</v>
      </c>
      <c r="E70" s="95">
        <v>1</v>
      </c>
      <c r="F70" s="95" t="s">
        <v>266</v>
      </c>
      <c r="G70" s="95">
        <v>21.03</v>
      </c>
      <c r="H70" s="95">
        <v>4.45</v>
      </c>
      <c r="I70" s="68">
        <v>17697</v>
      </c>
      <c r="J70" s="96">
        <v>1.95</v>
      </c>
      <c r="K70" s="68">
        <f t="shared" si="31"/>
        <v>153565.71750000003</v>
      </c>
      <c r="L70" s="68">
        <f t="shared" si="2"/>
        <v>38391.429375000007</v>
      </c>
      <c r="M70" s="68">
        <f t="shared" si="32"/>
        <v>191957.14687500003</v>
      </c>
      <c r="N70" s="68"/>
      <c r="O70" s="68">
        <f t="shared" si="33"/>
        <v>191957.14687500003</v>
      </c>
      <c r="P70" s="68">
        <f t="shared" si="22"/>
        <v>19195.714687500003</v>
      </c>
      <c r="Q70" s="68">
        <f t="shared" si="34"/>
        <v>38391.429375000007</v>
      </c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109">
        <f t="shared" si="7"/>
        <v>249544.29093750005</v>
      </c>
      <c r="AE70" s="109">
        <f t="shared" si="8"/>
        <v>2994.5314912500003</v>
      </c>
    </row>
    <row r="71" spans="1:31" s="105" customFormat="1" ht="13.5" customHeight="1">
      <c r="A71" s="95">
        <v>57</v>
      </c>
      <c r="B71" s="104" t="s">
        <v>267</v>
      </c>
      <c r="C71" s="79" t="s">
        <v>264</v>
      </c>
      <c r="D71" s="100" t="s">
        <v>205</v>
      </c>
      <c r="E71" s="95">
        <v>0.5</v>
      </c>
      <c r="F71" s="95" t="s">
        <v>268</v>
      </c>
      <c r="G71" s="95">
        <v>16.05</v>
      </c>
      <c r="H71" s="95">
        <v>3.65</v>
      </c>
      <c r="I71" s="68">
        <v>17697</v>
      </c>
      <c r="J71" s="96">
        <v>1.95</v>
      </c>
      <c r="K71" s="68">
        <f t="shared" si="31"/>
        <v>62979.198749999996</v>
      </c>
      <c r="L71" s="68">
        <f t="shared" si="2"/>
        <v>15744.799687499999</v>
      </c>
      <c r="M71" s="68">
        <f t="shared" si="32"/>
        <v>78723.998437499991</v>
      </c>
      <c r="N71" s="68"/>
      <c r="O71" s="68">
        <f t="shared" si="33"/>
        <v>78723.998437499991</v>
      </c>
      <c r="P71" s="68">
        <f t="shared" si="22"/>
        <v>7872.3998437499995</v>
      </c>
      <c r="Q71" s="68">
        <f t="shared" si="34"/>
        <v>15744.799687499999</v>
      </c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109">
        <f t="shared" si="7"/>
        <v>102341.19796874998</v>
      </c>
      <c r="AE71" s="109">
        <f t="shared" si="8"/>
        <v>1228.0943756249999</v>
      </c>
    </row>
    <row r="72" spans="1:31" s="105" customFormat="1" ht="13.5" customHeight="1">
      <c r="A72" s="95">
        <v>58</v>
      </c>
      <c r="B72" s="79" t="s">
        <v>269</v>
      </c>
      <c r="C72" s="79" t="s">
        <v>264</v>
      </c>
      <c r="D72" s="100" t="s">
        <v>205</v>
      </c>
      <c r="E72" s="95">
        <v>0.5</v>
      </c>
      <c r="F72" s="95" t="s">
        <v>268</v>
      </c>
      <c r="G72" s="95">
        <v>13.06</v>
      </c>
      <c r="H72" s="95">
        <v>3.61</v>
      </c>
      <c r="I72" s="68">
        <v>17697</v>
      </c>
      <c r="J72" s="96">
        <v>1.95</v>
      </c>
      <c r="K72" s="68">
        <f t="shared" si="31"/>
        <v>62289.015749999999</v>
      </c>
      <c r="L72" s="68">
        <f t="shared" si="2"/>
        <v>15572.2539375</v>
      </c>
      <c r="M72" s="68">
        <f t="shared" si="32"/>
        <v>77861.269687499997</v>
      </c>
      <c r="N72" s="68"/>
      <c r="O72" s="68">
        <f t="shared" si="33"/>
        <v>77861.269687499997</v>
      </c>
      <c r="P72" s="68">
        <f t="shared" si="22"/>
        <v>7786.1269687499998</v>
      </c>
      <c r="Q72" s="68">
        <f t="shared" si="34"/>
        <v>15572.2539375</v>
      </c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109">
        <f t="shared" si="7"/>
        <v>101219.65059375</v>
      </c>
      <c r="AE72" s="109">
        <f t="shared" si="8"/>
        <v>1214.6358071250002</v>
      </c>
    </row>
    <row r="73" spans="1:31" s="105" customFormat="1" ht="13.5" customHeight="1">
      <c r="A73" s="95">
        <v>59</v>
      </c>
      <c r="B73" s="79" t="s">
        <v>270</v>
      </c>
      <c r="C73" s="79" t="s">
        <v>437</v>
      </c>
      <c r="D73" s="100" t="s">
        <v>245</v>
      </c>
      <c r="E73" s="95">
        <v>1</v>
      </c>
      <c r="F73" s="95" t="s">
        <v>271</v>
      </c>
      <c r="G73" s="95">
        <v>30</v>
      </c>
      <c r="H73" s="314">
        <v>5.31</v>
      </c>
      <c r="I73" s="68">
        <v>17697</v>
      </c>
      <c r="J73" s="96">
        <v>2</v>
      </c>
      <c r="K73" s="68">
        <f t="shared" si="31"/>
        <v>187942.13999999998</v>
      </c>
      <c r="L73" s="68">
        <f t="shared" si="2"/>
        <v>46985.534999999996</v>
      </c>
      <c r="M73" s="68">
        <f t="shared" si="32"/>
        <v>234927.67499999999</v>
      </c>
      <c r="N73" s="68"/>
      <c r="O73" s="68">
        <f t="shared" si="33"/>
        <v>234927.67499999999</v>
      </c>
      <c r="P73" s="68">
        <f t="shared" si="22"/>
        <v>23492.767500000002</v>
      </c>
      <c r="Q73" s="68">
        <f t="shared" si="34"/>
        <v>46985.535000000003</v>
      </c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09">
        <f t="shared" si="7"/>
        <v>305405.97750000004</v>
      </c>
      <c r="AE73" s="109">
        <f t="shared" si="8"/>
        <v>3664.8717300000003</v>
      </c>
    </row>
    <row r="74" spans="1:31" s="105" customFormat="1" ht="23.25" customHeight="1">
      <c r="A74" s="95">
        <v>60</v>
      </c>
      <c r="B74" s="79" t="s">
        <v>273</v>
      </c>
      <c r="C74" s="467" t="s">
        <v>272</v>
      </c>
      <c r="D74" s="100" t="s">
        <v>245</v>
      </c>
      <c r="E74" s="95">
        <v>1</v>
      </c>
      <c r="F74" s="95" t="s">
        <v>274</v>
      </c>
      <c r="G74" s="95">
        <v>19.11</v>
      </c>
      <c r="H74" s="314">
        <v>4.6100000000000003</v>
      </c>
      <c r="I74" s="68">
        <v>17697</v>
      </c>
      <c r="J74" s="96">
        <v>1.45</v>
      </c>
      <c r="K74" s="68">
        <f t="shared" si="31"/>
        <v>118295.59650000001</v>
      </c>
      <c r="L74" s="68"/>
      <c r="M74" s="68">
        <f t="shared" si="32"/>
        <v>118295.59650000001</v>
      </c>
      <c r="N74" s="68"/>
      <c r="O74" s="68">
        <f t="shared" si="33"/>
        <v>118295.59650000001</v>
      </c>
      <c r="P74" s="68">
        <f t="shared" si="22"/>
        <v>11829.559650000003</v>
      </c>
      <c r="Q74" s="68">
        <f t="shared" si="34"/>
        <v>23659.119300000006</v>
      </c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109">
        <f t="shared" si="7"/>
        <v>153784.27545000002</v>
      </c>
      <c r="AE74" s="109">
        <f t="shared" si="8"/>
        <v>1845.4113054000002</v>
      </c>
    </row>
    <row r="75" spans="1:31" s="105" customFormat="1" ht="13.5" customHeight="1">
      <c r="A75" s="95">
        <v>61</v>
      </c>
      <c r="B75" s="79" t="s">
        <v>275</v>
      </c>
      <c r="C75" s="79" t="s">
        <v>438</v>
      </c>
      <c r="D75" s="100" t="s">
        <v>205</v>
      </c>
      <c r="E75" s="95">
        <v>1</v>
      </c>
      <c r="F75" s="95" t="s">
        <v>276</v>
      </c>
      <c r="G75" s="95">
        <v>33.03</v>
      </c>
      <c r="H75" s="314">
        <v>3.68</v>
      </c>
      <c r="I75" s="68">
        <v>17697</v>
      </c>
      <c r="J75" s="96">
        <v>1.45</v>
      </c>
      <c r="K75" s="68">
        <f t="shared" si="31"/>
        <v>94431.19200000001</v>
      </c>
      <c r="L75" s="68"/>
      <c r="M75" s="68">
        <f t="shared" si="32"/>
        <v>94431.19200000001</v>
      </c>
      <c r="N75" s="68"/>
      <c r="O75" s="68">
        <f t="shared" si="33"/>
        <v>94431.19200000001</v>
      </c>
      <c r="P75" s="68">
        <f t="shared" si="22"/>
        <v>9443.119200000001</v>
      </c>
      <c r="Q75" s="68">
        <f t="shared" si="34"/>
        <v>18886.238400000002</v>
      </c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109">
        <f t="shared" si="7"/>
        <v>122760.54960000001</v>
      </c>
      <c r="AE75" s="109">
        <f t="shared" si="8"/>
        <v>1473.1265952000001</v>
      </c>
    </row>
    <row r="76" spans="1:31" s="105" customFormat="1" ht="13.5" customHeight="1">
      <c r="A76" s="95">
        <v>62</v>
      </c>
      <c r="B76" s="79" t="s">
        <v>462</v>
      </c>
      <c r="C76" s="79" t="s">
        <v>277</v>
      </c>
      <c r="D76" s="100" t="s">
        <v>245</v>
      </c>
      <c r="E76" s="95">
        <v>1</v>
      </c>
      <c r="F76" s="95" t="s">
        <v>276</v>
      </c>
      <c r="G76" s="95">
        <v>1</v>
      </c>
      <c r="H76" s="314">
        <v>3.35</v>
      </c>
      <c r="I76" s="68">
        <v>17697</v>
      </c>
      <c r="J76" s="96">
        <v>1.45</v>
      </c>
      <c r="K76" s="68">
        <f t="shared" si="31"/>
        <v>85963.177500000005</v>
      </c>
      <c r="L76" s="68"/>
      <c r="M76" s="68">
        <f t="shared" si="32"/>
        <v>85963.177500000005</v>
      </c>
      <c r="N76" s="68"/>
      <c r="O76" s="68">
        <f t="shared" si="33"/>
        <v>85963.177500000005</v>
      </c>
      <c r="P76" s="68">
        <f t="shared" si="22"/>
        <v>8596.3177500000002</v>
      </c>
      <c r="Q76" s="68">
        <f t="shared" si="34"/>
        <v>17192.6355</v>
      </c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109">
        <f t="shared" si="7"/>
        <v>111752.13075000001</v>
      </c>
      <c r="AE76" s="109">
        <f t="shared" si="8"/>
        <v>1341.0255690000001</v>
      </c>
    </row>
    <row r="77" spans="1:31" s="105" customFormat="1" ht="12.75" customHeight="1">
      <c r="A77" s="372"/>
      <c r="B77" s="551" t="s">
        <v>378</v>
      </c>
      <c r="C77" s="567"/>
      <c r="D77" s="106"/>
      <c r="E77" s="373">
        <f t="shared" ref="E77:AE77" si="35">SUM(E50:E76)</f>
        <v>25.5</v>
      </c>
      <c r="F77" s="75"/>
      <c r="G77" s="75"/>
      <c r="H77" s="75"/>
      <c r="I77" s="75"/>
      <c r="J77" s="75"/>
      <c r="K77" s="75">
        <f t="shared" si="35"/>
        <v>2750830.5284999995</v>
      </c>
      <c r="L77" s="75">
        <f t="shared" si="35"/>
        <v>613035.14062499988</v>
      </c>
      <c r="M77" s="75">
        <f t="shared" si="35"/>
        <v>3363865.6691249995</v>
      </c>
      <c r="N77" s="75">
        <f t="shared" si="35"/>
        <v>0</v>
      </c>
      <c r="O77" s="75">
        <f t="shared" si="35"/>
        <v>3363865.6691249995</v>
      </c>
      <c r="P77" s="75">
        <f t="shared" si="35"/>
        <v>336386.56691250001</v>
      </c>
      <c r="Q77" s="75">
        <f t="shared" si="35"/>
        <v>672773.13382500003</v>
      </c>
      <c r="R77" s="75">
        <f t="shared" si="35"/>
        <v>0</v>
      </c>
      <c r="S77" s="75">
        <f t="shared" si="35"/>
        <v>0</v>
      </c>
      <c r="T77" s="75">
        <f t="shared" si="35"/>
        <v>0</v>
      </c>
      <c r="U77" s="75">
        <f t="shared" si="35"/>
        <v>0</v>
      </c>
      <c r="V77" s="75">
        <f t="shared" si="35"/>
        <v>0</v>
      </c>
      <c r="W77" s="75">
        <f t="shared" si="35"/>
        <v>10618</v>
      </c>
      <c r="X77" s="75">
        <f t="shared" si="35"/>
        <v>0</v>
      </c>
      <c r="Y77" s="75">
        <f t="shared" si="35"/>
        <v>0</v>
      </c>
      <c r="Z77" s="75">
        <f t="shared" si="35"/>
        <v>0</v>
      </c>
      <c r="AA77" s="75">
        <f t="shared" si="35"/>
        <v>0</v>
      </c>
      <c r="AB77" s="75">
        <f t="shared" si="35"/>
        <v>0</v>
      </c>
      <c r="AC77" s="75">
        <f t="shared" si="35"/>
        <v>0</v>
      </c>
      <c r="AD77" s="75">
        <f t="shared" si="35"/>
        <v>4383643.3698624987</v>
      </c>
      <c r="AE77" s="75">
        <f t="shared" si="35"/>
        <v>52603.720438349999</v>
      </c>
    </row>
    <row r="78" spans="1:31" s="105" customFormat="1" ht="13.5" customHeight="1">
      <c r="A78" s="95">
        <v>63</v>
      </c>
      <c r="B78" s="79" t="s">
        <v>178</v>
      </c>
      <c r="C78" s="107" t="s">
        <v>278</v>
      </c>
      <c r="D78" s="64" t="s">
        <v>245</v>
      </c>
      <c r="E78" s="110">
        <v>1</v>
      </c>
      <c r="F78" s="95" t="s">
        <v>280</v>
      </c>
      <c r="G78" s="95" t="s">
        <v>470</v>
      </c>
      <c r="H78" s="95">
        <v>3.25</v>
      </c>
      <c r="I78" s="68">
        <v>17697</v>
      </c>
      <c r="J78" s="96">
        <v>1.45</v>
      </c>
      <c r="K78" s="68">
        <f t="shared" ref="K78" si="36">I78*E78*H78*J78</f>
        <v>83397.112500000003</v>
      </c>
      <c r="L78" s="68"/>
      <c r="M78" s="68">
        <f t="shared" ref="M78" si="37">K78+L78</f>
        <v>83397.112500000003</v>
      </c>
      <c r="N78" s="68"/>
      <c r="O78" s="68">
        <f t="shared" ref="O78" si="38">M78</f>
        <v>83397.112500000003</v>
      </c>
      <c r="P78" s="68">
        <f t="shared" si="22"/>
        <v>8339.7112500000003</v>
      </c>
      <c r="Q78" s="68">
        <f t="shared" ref="Q78" si="39">O78*20%</f>
        <v>16679.422500000001</v>
      </c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109">
        <f t="shared" si="7"/>
        <v>108416.24625000001</v>
      </c>
      <c r="AE78" s="109">
        <f t="shared" si="8"/>
        <v>1300.9949550000001</v>
      </c>
    </row>
    <row r="79" spans="1:31" s="105" customFormat="1" ht="13.5" customHeight="1">
      <c r="A79" s="95">
        <v>64</v>
      </c>
      <c r="B79" s="79" t="s">
        <v>279</v>
      </c>
      <c r="C79" s="107" t="s">
        <v>281</v>
      </c>
      <c r="D79" s="64" t="s">
        <v>245</v>
      </c>
      <c r="E79" s="110">
        <v>1</v>
      </c>
      <c r="F79" s="95" t="s">
        <v>280</v>
      </c>
      <c r="G79" s="96">
        <v>2</v>
      </c>
      <c r="H79" s="95">
        <v>3.01</v>
      </c>
      <c r="I79" s="68">
        <v>17697</v>
      </c>
      <c r="J79" s="96">
        <v>1.45</v>
      </c>
      <c r="K79" s="68">
        <f t="shared" ref="K79:K82" si="40">I79*E79*H79*J79</f>
        <v>77238.556499999992</v>
      </c>
      <c r="L79" s="68"/>
      <c r="M79" s="68">
        <f t="shared" ref="M79:M82" si="41">K79+L79</f>
        <v>77238.556499999992</v>
      </c>
      <c r="N79" s="68"/>
      <c r="O79" s="68">
        <f t="shared" ref="O79:O82" si="42">M79</f>
        <v>77238.556499999992</v>
      </c>
      <c r="P79" s="68">
        <f t="shared" si="22"/>
        <v>7723.8556499999995</v>
      </c>
      <c r="Q79" s="68">
        <f t="shared" ref="Q79:Q82" si="43">O79*20%</f>
        <v>15447.711299999999</v>
      </c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109">
        <f t="shared" si="7"/>
        <v>100410.12344999998</v>
      </c>
      <c r="AE79" s="109">
        <f t="shared" si="8"/>
        <v>1204.9214813999999</v>
      </c>
    </row>
    <row r="80" spans="1:31" s="105" customFormat="1" ht="13.5" customHeight="1">
      <c r="A80" s="95">
        <v>65</v>
      </c>
      <c r="B80" s="101" t="s">
        <v>267</v>
      </c>
      <c r="C80" s="488" t="s">
        <v>804</v>
      </c>
      <c r="D80" s="64" t="s">
        <v>245</v>
      </c>
      <c r="E80" s="110">
        <v>0.5</v>
      </c>
      <c r="F80" s="95" t="s">
        <v>280</v>
      </c>
      <c r="G80" s="95">
        <v>15.09</v>
      </c>
      <c r="H80" s="314">
        <v>3.19</v>
      </c>
      <c r="I80" s="68">
        <v>17697</v>
      </c>
      <c r="J80" s="96">
        <v>1.45</v>
      </c>
      <c r="K80" s="68">
        <f t="shared" si="40"/>
        <v>40928.736749999996</v>
      </c>
      <c r="L80" s="68"/>
      <c r="M80" s="68">
        <f t="shared" si="41"/>
        <v>40928.736749999996</v>
      </c>
      <c r="N80" s="68"/>
      <c r="O80" s="68">
        <f t="shared" si="42"/>
        <v>40928.736749999996</v>
      </c>
      <c r="P80" s="68">
        <f t="shared" si="22"/>
        <v>4092.8736749999998</v>
      </c>
      <c r="Q80" s="68">
        <f t="shared" si="43"/>
        <v>8185.7473499999996</v>
      </c>
      <c r="R80" s="66">
        <f>I80*20%*E80</f>
        <v>1769.7</v>
      </c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109">
        <f t="shared" ref="AD80:AD82" si="44">SUM(O80:AC80)</f>
        <v>54977.057774999994</v>
      </c>
      <c r="AE80" s="109">
        <f t="shared" ref="AE80:AE137" si="45">(AD80*12)/1000</f>
        <v>659.7246932999999</v>
      </c>
    </row>
    <row r="81" spans="1:31" s="105" customFormat="1" ht="13.5" customHeight="1">
      <c r="A81" s="95">
        <v>66</v>
      </c>
      <c r="B81" s="101" t="s">
        <v>283</v>
      </c>
      <c r="C81" s="474" t="s">
        <v>844</v>
      </c>
      <c r="D81" s="64" t="s">
        <v>245</v>
      </c>
      <c r="E81" s="110">
        <v>1</v>
      </c>
      <c r="F81" s="95" t="s">
        <v>280</v>
      </c>
      <c r="G81" s="95">
        <v>18.600000000000001</v>
      </c>
      <c r="H81" s="314">
        <v>3.22</v>
      </c>
      <c r="I81" s="68">
        <v>17697</v>
      </c>
      <c r="J81" s="96">
        <v>1.45</v>
      </c>
      <c r="K81" s="68">
        <f t="shared" si="40"/>
        <v>82627.293000000005</v>
      </c>
      <c r="L81" s="68"/>
      <c r="M81" s="68">
        <f t="shared" si="41"/>
        <v>82627.293000000005</v>
      </c>
      <c r="N81" s="68"/>
      <c r="O81" s="68">
        <f t="shared" si="42"/>
        <v>82627.293000000005</v>
      </c>
      <c r="P81" s="68">
        <f t="shared" si="22"/>
        <v>8262.7293000000009</v>
      </c>
      <c r="Q81" s="68">
        <f t="shared" si="43"/>
        <v>16525.458600000002</v>
      </c>
      <c r="R81" s="66">
        <f>I81*20%*E81</f>
        <v>3539.4</v>
      </c>
      <c r="S81" s="66"/>
      <c r="T81" s="66"/>
      <c r="U81" s="66">
        <v>11844.15</v>
      </c>
      <c r="V81" s="66">
        <v>12113.1</v>
      </c>
      <c r="W81" s="66"/>
      <c r="X81" s="66"/>
      <c r="Y81" s="66"/>
      <c r="Z81" s="66"/>
      <c r="AA81" s="66"/>
      <c r="AB81" s="66"/>
      <c r="AC81" s="66"/>
      <c r="AD81" s="109">
        <f t="shared" si="44"/>
        <v>134912.13089999999</v>
      </c>
      <c r="AE81" s="109">
        <f t="shared" si="45"/>
        <v>1618.9455707999998</v>
      </c>
    </row>
    <row r="82" spans="1:31" s="105" customFormat="1" ht="13.5" customHeight="1">
      <c r="A82" s="95">
        <v>67</v>
      </c>
      <c r="B82" s="101" t="s">
        <v>284</v>
      </c>
      <c r="C82" s="474" t="s">
        <v>844</v>
      </c>
      <c r="D82" s="64" t="s">
        <v>245</v>
      </c>
      <c r="E82" s="110">
        <v>1</v>
      </c>
      <c r="F82" s="95" t="s">
        <v>280</v>
      </c>
      <c r="G82" s="95">
        <v>16.09</v>
      </c>
      <c r="H82" s="314">
        <v>3.22</v>
      </c>
      <c r="I82" s="68">
        <v>17697</v>
      </c>
      <c r="J82" s="96">
        <v>1.45</v>
      </c>
      <c r="K82" s="68">
        <f t="shared" si="40"/>
        <v>82627.293000000005</v>
      </c>
      <c r="L82" s="68"/>
      <c r="M82" s="68">
        <f t="shared" si="41"/>
        <v>82627.293000000005</v>
      </c>
      <c r="N82" s="68"/>
      <c r="O82" s="68">
        <f t="shared" si="42"/>
        <v>82627.293000000005</v>
      </c>
      <c r="P82" s="68">
        <f t="shared" si="22"/>
        <v>8262.7293000000009</v>
      </c>
      <c r="Q82" s="68">
        <f t="shared" si="43"/>
        <v>16525.458600000002</v>
      </c>
      <c r="R82" s="66">
        <f>I82*20%*E82</f>
        <v>3539.4</v>
      </c>
      <c r="S82" s="66"/>
      <c r="T82" s="66"/>
      <c r="U82" s="66">
        <v>11709.44</v>
      </c>
      <c r="V82" s="66">
        <v>11975.23</v>
      </c>
      <c r="W82" s="66"/>
      <c r="X82" s="66"/>
      <c r="Y82" s="66"/>
      <c r="Z82" s="66"/>
      <c r="AA82" s="66"/>
      <c r="AB82" s="66"/>
      <c r="AC82" s="66"/>
      <c r="AD82" s="109">
        <f t="shared" si="44"/>
        <v>134639.5509</v>
      </c>
      <c r="AE82" s="109">
        <f t="shared" si="45"/>
        <v>1615.6746108</v>
      </c>
    </row>
    <row r="83" spans="1:31" s="105" customFormat="1">
      <c r="A83" s="364"/>
      <c r="B83" s="554" t="s">
        <v>379</v>
      </c>
      <c r="C83" s="566"/>
      <c r="D83" s="75"/>
      <c r="E83" s="373">
        <f t="shared" ref="E83:AE83" si="46">SUM(E78:E82)</f>
        <v>4.5</v>
      </c>
      <c r="F83" s="75"/>
      <c r="G83" s="75"/>
      <c r="H83" s="75"/>
      <c r="I83" s="75"/>
      <c r="J83" s="75"/>
      <c r="K83" s="75">
        <f t="shared" si="46"/>
        <v>366818.99174999999</v>
      </c>
      <c r="L83" s="75">
        <f t="shared" si="46"/>
        <v>0</v>
      </c>
      <c r="M83" s="75">
        <f t="shared" si="46"/>
        <v>366818.99174999999</v>
      </c>
      <c r="N83" s="75">
        <f t="shared" si="46"/>
        <v>0</v>
      </c>
      <c r="O83" s="75">
        <f t="shared" si="46"/>
        <v>366818.99174999999</v>
      </c>
      <c r="P83" s="75">
        <f t="shared" si="46"/>
        <v>36681.899174999999</v>
      </c>
      <c r="Q83" s="75">
        <f t="shared" si="46"/>
        <v>73363.798349999997</v>
      </c>
      <c r="R83" s="75">
        <f t="shared" si="46"/>
        <v>8848.5</v>
      </c>
      <c r="S83" s="75">
        <f t="shared" si="46"/>
        <v>0</v>
      </c>
      <c r="T83" s="75">
        <f t="shared" si="46"/>
        <v>0</v>
      </c>
      <c r="U83" s="75">
        <f t="shared" si="46"/>
        <v>23553.59</v>
      </c>
      <c r="V83" s="75">
        <f t="shared" si="46"/>
        <v>24088.33</v>
      </c>
      <c r="W83" s="75">
        <f t="shared" si="46"/>
        <v>0</v>
      </c>
      <c r="X83" s="75">
        <f t="shared" si="46"/>
        <v>0</v>
      </c>
      <c r="Y83" s="75">
        <f t="shared" si="46"/>
        <v>0</v>
      </c>
      <c r="Z83" s="75">
        <f t="shared" si="46"/>
        <v>0</v>
      </c>
      <c r="AA83" s="75">
        <f t="shared" si="46"/>
        <v>0</v>
      </c>
      <c r="AB83" s="75">
        <f t="shared" si="46"/>
        <v>0</v>
      </c>
      <c r="AC83" s="75">
        <f t="shared" si="46"/>
        <v>0</v>
      </c>
      <c r="AD83" s="75">
        <f t="shared" si="46"/>
        <v>533355.10927499994</v>
      </c>
      <c r="AE83" s="75">
        <f t="shared" si="46"/>
        <v>6400.2613112999989</v>
      </c>
    </row>
    <row r="84" spans="1:31" s="105" customFormat="1" ht="12.75" customHeight="1">
      <c r="A84" s="95">
        <v>68</v>
      </c>
      <c r="B84" s="101" t="s">
        <v>297</v>
      </c>
      <c r="C84" s="104" t="s">
        <v>296</v>
      </c>
      <c r="D84" s="64" t="s">
        <v>286</v>
      </c>
      <c r="E84" s="110">
        <v>1</v>
      </c>
      <c r="F84" s="95">
        <v>1</v>
      </c>
      <c r="G84" s="96">
        <v>21.08</v>
      </c>
      <c r="H84" s="95">
        <v>2.77</v>
      </c>
      <c r="I84" s="68">
        <v>17697</v>
      </c>
      <c r="J84" s="96">
        <v>1.45</v>
      </c>
      <c r="K84" s="68">
        <f t="shared" ref="K84:K137" si="47">I84*E84*H84*J84</f>
        <v>71080.000499999995</v>
      </c>
      <c r="L84" s="68"/>
      <c r="M84" s="68">
        <f t="shared" ref="M84:M137" si="48">K84+L84</f>
        <v>71080.000499999995</v>
      </c>
      <c r="N84" s="68"/>
      <c r="O84" s="68">
        <f t="shared" ref="O84" si="49">M84</f>
        <v>71080.000499999995</v>
      </c>
      <c r="P84" s="68">
        <f t="shared" si="22"/>
        <v>7108.0000499999996</v>
      </c>
      <c r="Q84" s="68">
        <f t="shared" ref="Q84" si="50">O84*20%</f>
        <v>14216.000099999999</v>
      </c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109">
        <f>SUM(O84:AC84)</f>
        <v>92404.000650000002</v>
      </c>
      <c r="AE84" s="109">
        <f t="shared" si="45"/>
        <v>1108.8480078</v>
      </c>
    </row>
    <row r="85" spans="1:31" s="105" customFormat="1" ht="12.75" customHeight="1">
      <c r="A85" s="95">
        <v>69</v>
      </c>
      <c r="B85" s="79" t="s">
        <v>298</v>
      </c>
      <c r="C85" s="104" t="s">
        <v>296</v>
      </c>
      <c r="D85" s="64" t="s">
        <v>286</v>
      </c>
      <c r="E85" s="110">
        <v>1</v>
      </c>
      <c r="F85" s="95">
        <v>1</v>
      </c>
      <c r="G85" s="95">
        <v>23.02</v>
      </c>
      <c r="H85" s="95">
        <v>2.77</v>
      </c>
      <c r="I85" s="68">
        <v>17697</v>
      </c>
      <c r="J85" s="96">
        <v>1.45</v>
      </c>
      <c r="K85" s="68">
        <f t="shared" si="47"/>
        <v>71080.000499999995</v>
      </c>
      <c r="L85" s="68"/>
      <c r="M85" s="68">
        <f t="shared" si="48"/>
        <v>71080.000499999995</v>
      </c>
      <c r="N85" s="68"/>
      <c r="O85" s="68">
        <f t="shared" ref="O85:O137" si="51">M85</f>
        <v>71080.000499999995</v>
      </c>
      <c r="P85" s="68">
        <f t="shared" si="22"/>
        <v>7108.0000499999996</v>
      </c>
      <c r="Q85" s="68">
        <f t="shared" ref="Q85:Q137" si="52">O85*20%</f>
        <v>14216.000099999999</v>
      </c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109">
        <f t="shared" ref="AD85:AD137" si="53">SUM(O85:AC85)</f>
        <v>92404.000650000002</v>
      </c>
      <c r="AE85" s="109">
        <f t="shared" si="45"/>
        <v>1108.8480078</v>
      </c>
    </row>
    <row r="86" spans="1:31" s="105" customFormat="1" ht="12.75" customHeight="1">
      <c r="A86" s="95">
        <v>70</v>
      </c>
      <c r="B86" s="79" t="s">
        <v>299</v>
      </c>
      <c r="C86" s="104" t="s">
        <v>296</v>
      </c>
      <c r="D86" s="64" t="s">
        <v>286</v>
      </c>
      <c r="E86" s="110">
        <v>1</v>
      </c>
      <c r="F86" s="95">
        <v>1</v>
      </c>
      <c r="G86" s="95">
        <v>10.09</v>
      </c>
      <c r="H86" s="95">
        <v>2.77</v>
      </c>
      <c r="I86" s="68">
        <v>17697</v>
      </c>
      <c r="J86" s="96">
        <v>1.45</v>
      </c>
      <c r="K86" s="68">
        <f t="shared" si="47"/>
        <v>71080.000499999995</v>
      </c>
      <c r="L86" s="68"/>
      <c r="M86" s="68">
        <f t="shared" si="48"/>
        <v>71080.000499999995</v>
      </c>
      <c r="N86" s="68"/>
      <c r="O86" s="68">
        <f t="shared" si="51"/>
        <v>71080.000499999995</v>
      </c>
      <c r="P86" s="68">
        <f t="shared" si="22"/>
        <v>7108.0000499999996</v>
      </c>
      <c r="Q86" s="68">
        <f t="shared" si="52"/>
        <v>14216.000099999999</v>
      </c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109">
        <f t="shared" si="53"/>
        <v>92404.000650000002</v>
      </c>
      <c r="AE86" s="109">
        <f t="shared" si="45"/>
        <v>1108.8480078</v>
      </c>
    </row>
    <row r="87" spans="1:31" ht="12.75" customHeight="1">
      <c r="A87" s="95">
        <v>71</v>
      </c>
      <c r="B87" s="79" t="s">
        <v>300</v>
      </c>
      <c r="C87" s="104" t="s">
        <v>296</v>
      </c>
      <c r="D87" s="64" t="s">
        <v>286</v>
      </c>
      <c r="E87" s="110">
        <v>1</v>
      </c>
      <c r="F87" s="95">
        <v>1</v>
      </c>
      <c r="G87" s="95">
        <v>28.05</v>
      </c>
      <c r="H87" s="95">
        <v>2.77</v>
      </c>
      <c r="I87" s="68">
        <v>17697</v>
      </c>
      <c r="J87" s="96">
        <v>1.45</v>
      </c>
      <c r="K87" s="68">
        <f t="shared" si="47"/>
        <v>71080.000499999995</v>
      </c>
      <c r="L87" s="68"/>
      <c r="M87" s="68">
        <f t="shared" si="48"/>
        <v>71080.000499999995</v>
      </c>
      <c r="N87" s="68"/>
      <c r="O87" s="68">
        <f t="shared" si="51"/>
        <v>71080.000499999995</v>
      </c>
      <c r="P87" s="68">
        <f t="shared" si="22"/>
        <v>7108.0000499999996</v>
      </c>
      <c r="Q87" s="68">
        <f t="shared" si="52"/>
        <v>14216.000099999999</v>
      </c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109">
        <f t="shared" si="53"/>
        <v>92404.000650000002</v>
      </c>
      <c r="AE87" s="109">
        <f t="shared" si="45"/>
        <v>1108.8480078</v>
      </c>
    </row>
    <row r="88" spans="1:31" ht="12.75" customHeight="1">
      <c r="A88" s="95">
        <v>72</v>
      </c>
      <c r="B88" s="224" t="s">
        <v>107</v>
      </c>
      <c r="C88" s="104" t="s">
        <v>417</v>
      </c>
      <c r="D88" s="64" t="s">
        <v>286</v>
      </c>
      <c r="E88" s="110">
        <v>1</v>
      </c>
      <c r="F88" s="95">
        <v>1</v>
      </c>
      <c r="G88" s="95">
        <v>16.05</v>
      </c>
      <c r="H88" s="95">
        <v>2.77</v>
      </c>
      <c r="I88" s="68">
        <v>17697</v>
      </c>
      <c r="J88" s="96">
        <v>1.45</v>
      </c>
      <c r="K88" s="68">
        <f t="shared" si="47"/>
        <v>71080.000499999995</v>
      </c>
      <c r="L88" s="68"/>
      <c r="M88" s="68">
        <f t="shared" si="48"/>
        <v>71080.000499999995</v>
      </c>
      <c r="N88" s="68"/>
      <c r="O88" s="68">
        <f t="shared" si="51"/>
        <v>71080.000499999995</v>
      </c>
      <c r="P88" s="68">
        <f t="shared" si="22"/>
        <v>7108.0000499999996</v>
      </c>
      <c r="Q88" s="68">
        <f t="shared" si="52"/>
        <v>14216.000099999999</v>
      </c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109">
        <f t="shared" si="53"/>
        <v>92404.000650000002</v>
      </c>
      <c r="AE88" s="109">
        <f t="shared" si="45"/>
        <v>1108.8480078</v>
      </c>
    </row>
    <row r="89" spans="1:31" ht="12.75" customHeight="1">
      <c r="A89" s="95">
        <v>73</v>
      </c>
      <c r="B89" s="79" t="s">
        <v>465</v>
      </c>
      <c r="C89" s="104" t="s">
        <v>417</v>
      </c>
      <c r="D89" s="64" t="s">
        <v>286</v>
      </c>
      <c r="E89" s="110">
        <v>1</v>
      </c>
      <c r="F89" s="95">
        <v>1</v>
      </c>
      <c r="G89" s="95">
        <v>2.04</v>
      </c>
      <c r="H89" s="95">
        <v>2.77</v>
      </c>
      <c r="I89" s="68">
        <v>17697</v>
      </c>
      <c r="J89" s="96">
        <v>1.45</v>
      </c>
      <c r="K89" s="68">
        <f t="shared" si="47"/>
        <v>71080.000499999995</v>
      </c>
      <c r="L89" s="68"/>
      <c r="M89" s="68">
        <f t="shared" si="48"/>
        <v>71080.000499999995</v>
      </c>
      <c r="N89" s="68"/>
      <c r="O89" s="68">
        <f t="shared" si="51"/>
        <v>71080.000499999995</v>
      </c>
      <c r="P89" s="68">
        <f t="shared" si="22"/>
        <v>7108.0000499999996</v>
      </c>
      <c r="Q89" s="68">
        <f t="shared" si="52"/>
        <v>14216.000099999999</v>
      </c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109">
        <f t="shared" si="53"/>
        <v>92404.000650000002</v>
      </c>
      <c r="AE89" s="109">
        <f t="shared" si="45"/>
        <v>1108.8480078</v>
      </c>
    </row>
    <row r="90" spans="1:31" ht="12.75" customHeight="1">
      <c r="A90" s="95">
        <v>74</v>
      </c>
      <c r="B90" s="79" t="s">
        <v>302</v>
      </c>
      <c r="C90" s="81" t="s">
        <v>301</v>
      </c>
      <c r="D90" s="64" t="s">
        <v>286</v>
      </c>
      <c r="E90" s="110">
        <v>1</v>
      </c>
      <c r="F90" s="95">
        <v>2</v>
      </c>
      <c r="G90" s="96">
        <v>20.079999999999998</v>
      </c>
      <c r="H90" s="95">
        <v>2.81</v>
      </c>
      <c r="I90" s="68">
        <v>17697</v>
      </c>
      <c r="J90" s="96">
        <v>1.45</v>
      </c>
      <c r="K90" s="68">
        <f t="shared" si="47"/>
        <v>72106.426500000001</v>
      </c>
      <c r="L90" s="68"/>
      <c r="M90" s="68">
        <f t="shared" si="48"/>
        <v>72106.426500000001</v>
      </c>
      <c r="N90" s="68"/>
      <c r="O90" s="68">
        <f t="shared" si="51"/>
        <v>72106.426500000001</v>
      </c>
      <c r="P90" s="68">
        <f t="shared" si="22"/>
        <v>7210.6426500000007</v>
      </c>
      <c r="Q90" s="68">
        <f t="shared" si="52"/>
        <v>14421.285300000001</v>
      </c>
      <c r="R90" s="66">
        <f>I90*E90*30%</f>
        <v>5309.0999999999995</v>
      </c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109">
        <f t="shared" si="53"/>
        <v>99047.454450000005</v>
      </c>
      <c r="AE90" s="109">
        <f>(AD90*12)/1000</f>
        <v>1188.5694533999999</v>
      </c>
    </row>
    <row r="91" spans="1:31" ht="12.75" customHeight="1">
      <c r="A91" s="95">
        <v>75</v>
      </c>
      <c r="B91" s="79" t="s">
        <v>303</v>
      </c>
      <c r="C91" s="81" t="s">
        <v>301</v>
      </c>
      <c r="D91" s="64" t="s">
        <v>286</v>
      </c>
      <c r="E91" s="110">
        <v>1</v>
      </c>
      <c r="F91" s="95">
        <v>2</v>
      </c>
      <c r="G91" s="95">
        <v>16.09</v>
      </c>
      <c r="H91" s="95">
        <v>2.81</v>
      </c>
      <c r="I91" s="68">
        <v>17697</v>
      </c>
      <c r="J91" s="96">
        <v>1.45</v>
      </c>
      <c r="K91" s="68">
        <f t="shared" si="47"/>
        <v>72106.426500000001</v>
      </c>
      <c r="L91" s="68"/>
      <c r="M91" s="68">
        <f t="shared" si="48"/>
        <v>72106.426500000001</v>
      </c>
      <c r="N91" s="68"/>
      <c r="O91" s="68">
        <f t="shared" si="51"/>
        <v>72106.426500000001</v>
      </c>
      <c r="P91" s="68">
        <f t="shared" si="22"/>
        <v>7210.6426500000007</v>
      </c>
      <c r="Q91" s="68">
        <f t="shared" si="52"/>
        <v>14421.285300000001</v>
      </c>
      <c r="R91" s="66">
        <f t="shared" ref="R91:R125" si="54">I91*E91*30%</f>
        <v>5309.0999999999995</v>
      </c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109">
        <f t="shared" si="53"/>
        <v>99047.454450000005</v>
      </c>
      <c r="AE91" s="109">
        <f t="shared" si="45"/>
        <v>1188.5694533999999</v>
      </c>
    </row>
    <row r="92" spans="1:31" ht="12.75" customHeight="1">
      <c r="A92" s="95">
        <v>76</v>
      </c>
      <c r="B92" s="79" t="s">
        <v>304</v>
      </c>
      <c r="C92" s="81" t="s">
        <v>301</v>
      </c>
      <c r="D92" s="64" t="s">
        <v>286</v>
      </c>
      <c r="E92" s="110">
        <v>1</v>
      </c>
      <c r="F92" s="95">
        <v>2</v>
      </c>
      <c r="G92" s="95">
        <v>31.1</v>
      </c>
      <c r="H92" s="95">
        <v>2.81</v>
      </c>
      <c r="I92" s="68">
        <v>17697</v>
      </c>
      <c r="J92" s="96">
        <v>1.45</v>
      </c>
      <c r="K92" s="68">
        <f t="shared" si="47"/>
        <v>72106.426500000001</v>
      </c>
      <c r="L92" s="68"/>
      <c r="M92" s="68">
        <f t="shared" si="48"/>
        <v>72106.426500000001</v>
      </c>
      <c r="N92" s="68"/>
      <c r="O92" s="68">
        <f t="shared" si="51"/>
        <v>72106.426500000001</v>
      </c>
      <c r="P92" s="68">
        <f t="shared" si="22"/>
        <v>7210.6426500000007</v>
      </c>
      <c r="Q92" s="68">
        <f t="shared" si="52"/>
        <v>14421.285300000001</v>
      </c>
      <c r="R92" s="66">
        <f t="shared" si="54"/>
        <v>5309.0999999999995</v>
      </c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109">
        <f t="shared" si="53"/>
        <v>99047.454450000005</v>
      </c>
      <c r="AE92" s="109">
        <f t="shared" si="45"/>
        <v>1188.5694533999999</v>
      </c>
    </row>
    <row r="93" spans="1:31" ht="12.75" customHeight="1">
      <c r="A93" s="95">
        <v>77</v>
      </c>
      <c r="B93" s="79" t="s">
        <v>305</v>
      </c>
      <c r="C93" s="81" t="s">
        <v>301</v>
      </c>
      <c r="D93" s="64" t="s">
        <v>286</v>
      </c>
      <c r="E93" s="110">
        <v>1</v>
      </c>
      <c r="F93" s="95">
        <v>2</v>
      </c>
      <c r="G93" s="95">
        <v>16.09</v>
      </c>
      <c r="H93" s="95">
        <v>2.81</v>
      </c>
      <c r="I93" s="68">
        <v>17697</v>
      </c>
      <c r="J93" s="96">
        <v>1.45</v>
      </c>
      <c r="K93" s="68">
        <f t="shared" si="47"/>
        <v>72106.426500000001</v>
      </c>
      <c r="L93" s="68"/>
      <c r="M93" s="68">
        <f t="shared" si="48"/>
        <v>72106.426500000001</v>
      </c>
      <c r="N93" s="68"/>
      <c r="O93" s="68">
        <f t="shared" si="51"/>
        <v>72106.426500000001</v>
      </c>
      <c r="P93" s="68">
        <f t="shared" si="22"/>
        <v>7210.6426500000007</v>
      </c>
      <c r="Q93" s="68">
        <f t="shared" si="52"/>
        <v>14421.285300000001</v>
      </c>
      <c r="R93" s="66">
        <f t="shared" si="54"/>
        <v>5309.0999999999995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109">
        <f t="shared" si="53"/>
        <v>99047.454450000005</v>
      </c>
      <c r="AE93" s="109">
        <f t="shared" si="45"/>
        <v>1188.5694533999999</v>
      </c>
    </row>
    <row r="94" spans="1:31" ht="12.75" customHeight="1">
      <c r="A94" s="95">
        <v>78</v>
      </c>
      <c r="B94" s="79" t="s">
        <v>306</v>
      </c>
      <c r="C94" s="81" t="s">
        <v>301</v>
      </c>
      <c r="D94" s="64" t="s">
        <v>286</v>
      </c>
      <c r="E94" s="110">
        <v>1</v>
      </c>
      <c r="F94" s="95">
        <v>2</v>
      </c>
      <c r="G94" s="95">
        <v>28.07</v>
      </c>
      <c r="H94" s="95">
        <v>2.81</v>
      </c>
      <c r="I94" s="68">
        <v>17697</v>
      </c>
      <c r="J94" s="96">
        <v>1.45</v>
      </c>
      <c r="K94" s="68">
        <f t="shared" si="47"/>
        <v>72106.426500000001</v>
      </c>
      <c r="L94" s="68"/>
      <c r="M94" s="68">
        <f t="shared" si="48"/>
        <v>72106.426500000001</v>
      </c>
      <c r="N94" s="68"/>
      <c r="O94" s="68">
        <f t="shared" si="51"/>
        <v>72106.426500000001</v>
      </c>
      <c r="P94" s="68">
        <f t="shared" si="22"/>
        <v>7210.6426500000007</v>
      </c>
      <c r="Q94" s="68">
        <f t="shared" si="52"/>
        <v>14421.285300000001</v>
      </c>
      <c r="R94" s="66">
        <f t="shared" si="54"/>
        <v>5309.0999999999995</v>
      </c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109">
        <f t="shared" si="53"/>
        <v>99047.454450000005</v>
      </c>
      <c r="AE94" s="109">
        <f t="shared" si="45"/>
        <v>1188.5694533999999</v>
      </c>
    </row>
    <row r="95" spans="1:31" ht="12.75" customHeight="1">
      <c r="A95" s="95">
        <v>79</v>
      </c>
      <c r="B95" s="79" t="s">
        <v>307</v>
      </c>
      <c r="C95" s="81" t="s">
        <v>301</v>
      </c>
      <c r="D95" s="64" t="s">
        <v>286</v>
      </c>
      <c r="E95" s="110">
        <v>1</v>
      </c>
      <c r="F95" s="95">
        <v>2</v>
      </c>
      <c r="G95" s="95">
        <v>26.01</v>
      </c>
      <c r="H95" s="95">
        <v>2.81</v>
      </c>
      <c r="I95" s="68">
        <v>17697</v>
      </c>
      <c r="J95" s="96">
        <v>1.45</v>
      </c>
      <c r="K95" s="68">
        <f t="shared" si="47"/>
        <v>72106.426500000001</v>
      </c>
      <c r="L95" s="68"/>
      <c r="M95" s="68">
        <f t="shared" si="48"/>
        <v>72106.426500000001</v>
      </c>
      <c r="N95" s="68"/>
      <c r="O95" s="68">
        <f t="shared" si="51"/>
        <v>72106.426500000001</v>
      </c>
      <c r="P95" s="68">
        <f t="shared" si="22"/>
        <v>7210.6426500000007</v>
      </c>
      <c r="Q95" s="68">
        <f t="shared" si="52"/>
        <v>14421.285300000001</v>
      </c>
      <c r="R95" s="66">
        <f t="shared" si="54"/>
        <v>5309.0999999999995</v>
      </c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109">
        <f t="shared" si="53"/>
        <v>99047.454450000005</v>
      </c>
      <c r="AE95" s="109">
        <f t="shared" si="45"/>
        <v>1188.5694533999999</v>
      </c>
    </row>
    <row r="96" spans="1:31" ht="12.75" customHeight="1">
      <c r="A96" s="95">
        <v>80</v>
      </c>
      <c r="B96" s="79" t="s">
        <v>308</v>
      </c>
      <c r="C96" s="81" t="s">
        <v>301</v>
      </c>
      <c r="D96" s="64" t="s">
        <v>286</v>
      </c>
      <c r="E96" s="110">
        <v>1</v>
      </c>
      <c r="F96" s="95">
        <v>2</v>
      </c>
      <c r="G96" s="95">
        <v>19.07</v>
      </c>
      <c r="H96" s="95">
        <v>2.81</v>
      </c>
      <c r="I96" s="68">
        <v>17697</v>
      </c>
      <c r="J96" s="96">
        <v>1.45</v>
      </c>
      <c r="K96" s="68">
        <f t="shared" si="47"/>
        <v>72106.426500000001</v>
      </c>
      <c r="L96" s="68"/>
      <c r="M96" s="68">
        <f t="shared" si="48"/>
        <v>72106.426500000001</v>
      </c>
      <c r="N96" s="68"/>
      <c r="O96" s="68">
        <f t="shared" si="51"/>
        <v>72106.426500000001</v>
      </c>
      <c r="P96" s="68">
        <f t="shared" si="22"/>
        <v>7210.6426500000007</v>
      </c>
      <c r="Q96" s="68">
        <f t="shared" si="52"/>
        <v>14421.285300000001</v>
      </c>
      <c r="R96" s="66">
        <f t="shared" si="54"/>
        <v>5309.0999999999995</v>
      </c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109">
        <f t="shared" si="53"/>
        <v>99047.454450000005</v>
      </c>
      <c r="AE96" s="109">
        <f t="shared" si="45"/>
        <v>1188.5694533999999</v>
      </c>
    </row>
    <row r="97" spans="1:31" ht="12.75" customHeight="1">
      <c r="A97" s="95">
        <v>81</v>
      </c>
      <c r="B97" s="79" t="s">
        <v>309</v>
      </c>
      <c r="C97" s="81" t="s">
        <v>301</v>
      </c>
      <c r="D97" s="64" t="s">
        <v>286</v>
      </c>
      <c r="E97" s="110">
        <v>1</v>
      </c>
      <c r="F97" s="95">
        <v>2</v>
      </c>
      <c r="G97" s="95">
        <v>18.09</v>
      </c>
      <c r="H97" s="95">
        <v>2.81</v>
      </c>
      <c r="I97" s="68">
        <v>17697</v>
      </c>
      <c r="J97" s="96">
        <v>1.45</v>
      </c>
      <c r="K97" s="68">
        <f t="shared" si="47"/>
        <v>72106.426500000001</v>
      </c>
      <c r="L97" s="68"/>
      <c r="M97" s="68">
        <f t="shared" si="48"/>
        <v>72106.426500000001</v>
      </c>
      <c r="N97" s="68"/>
      <c r="O97" s="68">
        <f t="shared" si="51"/>
        <v>72106.426500000001</v>
      </c>
      <c r="P97" s="68">
        <f t="shared" ref="P97:P137" si="55">O97*10%</f>
        <v>7210.6426500000007</v>
      </c>
      <c r="Q97" s="68">
        <f t="shared" si="52"/>
        <v>14421.285300000001</v>
      </c>
      <c r="R97" s="66">
        <f t="shared" si="54"/>
        <v>5309.0999999999995</v>
      </c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109">
        <f t="shared" si="53"/>
        <v>99047.454450000005</v>
      </c>
      <c r="AE97" s="109">
        <f t="shared" si="45"/>
        <v>1188.5694533999999</v>
      </c>
    </row>
    <row r="98" spans="1:31" ht="12.75" customHeight="1">
      <c r="A98" s="95">
        <v>82</v>
      </c>
      <c r="B98" s="79" t="s">
        <v>310</v>
      </c>
      <c r="C98" s="81" t="s">
        <v>301</v>
      </c>
      <c r="D98" s="64" t="s">
        <v>286</v>
      </c>
      <c r="E98" s="110">
        <v>1</v>
      </c>
      <c r="F98" s="95">
        <v>2</v>
      </c>
      <c r="G98" s="95">
        <v>20.05</v>
      </c>
      <c r="H98" s="95">
        <v>2.81</v>
      </c>
      <c r="I98" s="68">
        <v>17697</v>
      </c>
      <c r="J98" s="96">
        <v>1.45</v>
      </c>
      <c r="K98" s="68">
        <f t="shared" si="47"/>
        <v>72106.426500000001</v>
      </c>
      <c r="L98" s="68"/>
      <c r="M98" s="68">
        <f t="shared" si="48"/>
        <v>72106.426500000001</v>
      </c>
      <c r="N98" s="68"/>
      <c r="O98" s="68">
        <f t="shared" si="51"/>
        <v>72106.426500000001</v>
      </c>
      <c r="P98" s="68">
        <f t="shared" si="55"/>
        <v>7210.6426500000007</v>
      </c>
      <c r="Q98" s="68">
        <f t="shared" si="52"/>
        <v>14421.285300000001</v>
      </c>
      <c r="R98" s="66">
        <f t="shared" si="54"/>
        <v>5309.0999999999995</v>
      </c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109">
        <f t="shared" si="53"/>
        <v>99047.454450000005</v>
      </c>
      <c r="AE98" s="109">
        <f t="shared" si="45"/>
        <v>1188.5694533999999</v>
      </c>
    </row>
    <row r="99" spans="1:31" ht="12.75" customHeight="1">
      <c r="A99" s="95">
        <v>83</v>
      </c>
      <c r="B99" s="79" t="s">
        <v>770</v>
      </c>
      <c r="C99" s="81" t="s">
        <v>301</v>
      </c>
      <c r="D99" s="64" t="s">
        <v>286</v>
      </c>
      <c r="E99" s="110">
        <v>1</v>
      </c>
      <c r="F99" s="95">
        <v>2</v>
      </c>
      <c r="G99" s="95">
        <v>16.05</v>
      </c>
      <c r="H99" s="95">
        <v>2.81</v>
      </c>
      <c r="I99" s="68">
        <v>17697</v>
      </c>
      <c r="J99" s="96">
        <v>1.45</v>
      </c>
      <c r="K99" s="68">
        <f t="shared" si="47"/>
        <v>72106.426500000001</v>
      </c>
      <c r="L99" s="68"/>
      <c r="M99" s="68">
        <f t="shared" si="48"/>
        <v>72106.426500000001</v>
      </c>
      <c r="N99" s="68"/>
      <c r="O99" s="68">
        <f t="shared" si="51"/>
        <v>72106.426500000001</v>
      </c>
      <c r="P99" s="68">
        <f t="shared" si="55"/>
        <v>7210.6426500000007</v>
      </c>
      <c r="Q99" s="68">
        <f t="shared" si="52"/>
        <v>14421.285300000001</v>
      </c>
      <c r="R99" s="66">
        <f t="shared" si="54"/>
        <v>5309.0999999999995</v>
      </c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109">
        <f t="shared" si="53"/>
        <v>99047.454450000005</v>
      </c>
      <c r="AE99" s="109">
        <f t="shared" si="45"/>
        <v>1188.5694533999999</v>
      </c>
    </row>
    <row r="100" spans="1:31" ht="12.75" customHeight="1">
      <c r="A100" s="95">
        <v>84</v>
      </c>
      <c r="B100" s="79" t="s">
        <v>311</v>
      </c>
      <c r="C100" s="81" t="s">
        <v>301</v>
      </c>
      <c r="D100" s="64" t="s">
        <v>286</v>
      </c>
      <c r="E100" s="110">
        <v>1</v>
      </c>
      <c r="F100" s="95">
        <v>2</v>
      </c>
      <c r="G100" s="95">
        <v>7.01</v>
      </c>
      <c r="H100" s="95">
        <v>2.81</v>
      </c>
      <c r="I100" s="68">
        <v>17697</v>
      </c>
      <c r="J100" s="96">
        <v>1.45</v>
      </c>
      <c r="K100" s="68">
        <f t="shared" si="47"/>
        <v>72106.426500000001</v>
      </c>
      <c r="L100" s="68"/>
      <c r="M100" s="68">
        <f t="shared" si="48"/>
        <v>72106.426500000001</v>
      </c>
      <c r="N100" s="68"/>
      <c r="O100" s="68">
        <f t="shared" si="51"/>
        <v>72106.426500000001</v>
      </c>
      <c r="P100" s="68">
        <f t="shared" si="55"/>
        <v>7210.6426500000007</v>
      </c>
      <c r="Q100" s="68">
        <f t="shared" si="52"/>
        <v>14421.285300000001</v>
      </c>
      <c r="R100" s="66">
        <f t="shared" si="54"/>
        <v>5309.0999999999995</v>
      </c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109">
        <f t="shared" si="53"/>
        <v>99047.454450000005</v>
      </c>
      <c r="AE100" s="109">
        <f t="shared" si="45"/>
        <v>1188.5694533999999</v>
      </c>
    </row>
    <row r="101" spans="1:31" ht="12.75" customHeight="1">
      <c r="A101" s="95">
        <v>85</v>
      </c>
      <c r="B101" s="79" t="s">
        <v>312</v>
      </c>
      <c r="C101" s="81" t="s">
        <v>301</v>
      </c>
      <c r="D101" s="64" t="s">
        <v>286</v>
      </c>
      <c r="E101" s="110">
        <v>1</v>
      </c>
      <c r="F101" s="95">
        <v>2</v>
      </c>
      <c r="G101" s="95">
        <v>31.05</v>
      </c>
      <c r="H101" s="95">
        <v>2.81</v>
      </c>
      <c r="I101" s="68">
        <v>17697</v>
      </c>
      <c r="J101" s="96">
        <v>1.45</v>
      </c>
      <c r="K101" s="68">
        <f t="shared" si="47"/>
        <v>72106.426500000001</v>
      </c>
      <c r="L101" s="68"/>
      <c r="M101" s="68">
        <f t="shared" si="48"/>
        <v>72106.426500000001</v>
      </c>
      <c r="N101" s="68"/>
      <c r="O101" s="68">
        <f t="shared" si="51"/>
        <v>72106.426500000001</v>
      </c>
      <c r="P101" s="68">
        <f t="shared" si="55"/>
        <v>7210.6426500000007</v>
      </c>
      <c r="Q101" s="68">
        <f t="shared" si="52"/>
        <v>14421.285300000001</v>
      </c>
      <c r="R101" s="66">
        <f t="shared" si="54"/>
        <v>5309.0999999999995</v>
      </c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109">
        <f t="shared" si="53"/>
        <v>99047.454450000005</v>
      </c>
      <c r="AE101" s="109">
        <f t="shared" si="45"/>
        <v>1188.5694533999999</v>
      </c>
    </row>
    <row r="102" spans="1:31" ht="12.75" customHeight="1">
      <c r="A102" s="95">
        <v>86</v>
      </c>
      <c r="B102" s="79" t="s">
        <v>313</v>
      </c>
      <c r="C102" s="81" t="s">
        <v>301</v>
      </c>
      <c r="D102" s="64" t="s">
        <v>286</v>
      </c>
      <c r="E102" s="110">
        <v>1</v>
      </c>
      <c r="F102" s="95">
        <v>2</v>
      </c>
      <c r="G102" s="95">
        <v>10.09</v>
      </c>
      <c r="H102" s="95">
        <v>2.81</v>
      </c>
      <c r="I102" s="68">
        <v>17697</v>
      </c>
      <c r="J102" s="96">
        <v>1.45</v>
      </c>
      <c r="K102" s="68">
        <f t="shared" si="47"/>
        <v>72106.426500000001</v>
      </c>
      <c r="L102" s="68"/>
      <c r="M102" s="68">
        <f t="shared" si="48"/>
        <v>72106.426500000001</v>
      </c>
      <c r="N102" s="68"/>
      <c r="O102" s="68">
        <f t="shared" si="51"/>
        <v>72106.426500000001</v>
      </c>
      <c r="P102" s="68">
        <f t="shared" si="55"/>
        <v>7210.6426500000007</v>
      </c>
      <c r="Q102" s="68">
        <f t="shared" si="52"/>
        <v>14421.285300000001</v>
      </c>
      <c r="R102" s="66">
        <f t="shared" si="54"/>
        <v>5309.0999999999995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109">
        <f t="shared" si="53"/>
        <v>99047.454450000005</v>
      </c>
      <c r="AE102" s="109">
        <f t="shared" si="45"/>
        <v>1188.5694533999999</v>
      </c>
    </row>
    <row r="103" spans="1:31" ht="12.75" customHeight="1">
      <c r="A103" s="95">
        <v>87</v>
      </c>
      <c r="B103" s="79" t="s">
        <v>314</v>
      </c>
      <c r="C103" s="81" t="s">
        <v>301</v>
      </c>
      <c r="D103" s="64" t="s">
        <v>286</v>
      </c>
      <c r="E103" s="110">
        <v>1</v>
      </c>
      <c r="F103" s="95">
        <v>2</v>
      </c>
      <c r="G103" s="95">
        <v>11.02</v>
      </c>
      <c r="H103" s="95">
        <v>2.81</v>
      </c>
      <c r="I103" s="68">
        <v>17697</v>
      </c>
      <c r="J103" s="96">
        <v>1.45</v>
      </c>
      <c r="K103" s="68">
        <f t="shared" si="47"/>
        <v>72106.426500000001</v>
      </c>
      <c r="L103" s="68"/>
      <c r="M103" s="68">
        <f t="shared" si="48"/>
        <v>72106.426500000001</v>
      </c>
      <c r="N103" s="68"/>
      <c r="O103" s="68">
        <f t="shared" si="51"/>
        <v>72106.426500000001</v>
      </c>
      <c r="P103" s="68">
        <f t="shared" si="55"/>
        <v>7210.6426500000007</v>
      </c>
      <c r="Q103" s="68">
        <f t="shared" si="52"/>
        <v>14421.285300000001</v>
      </c>
      <c r="R103" s="66">
        <f t="shared" si="54"/>
        <v>5309.0999999999995</v>
      </c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109">
        <f t="shared" si="53"/>
        <v>99047.454450000005</v>
      </c>
      <c r="AE103" s="109">
        <f t="shared" si="45"/>
        <v>1188.5694533999999</v>
      </c>
    </row>
    <row r="104" spans="1:31" ht="12.75" customHeight="1">
      <c r="A104" s="95">
        <v>88</v>
      </c>
      <c r="B104" s="79" t="s">
        <v>315</v>
      </c>
      <c r="C104" s="81" t="s">
        <v>301</v>
      </c>
      <c r="D104" s="64" t="s">
        <v>286</v>
      </c>
      <c r="E104" s="110">
        <v>1</v>
      </c>
      <c r="F104" s="95">
        <v>2</v>
      </c>
      <c r="G104" s="96">
        <v>14.06</v>
      </c>
      <c r="H104" s="95">
        <v>2.81</v>
      </c>
      <c r="I104" s="68">
        <v>17697</v>
      </c>
      <c r="J104" s="96">
        <v>1.45</v>
      </c>
      <c r="K104" s="68">
        <f t="shared" si="47"/>
        <v>72106.426500000001</v>
      </c>
      <c r="L104" s="68"/>
      <c r="M104" s="68">
        <f t="shared" si="48"/>
        <v>72106.426500000001</v>
      </c>
      <c r="N104" s="68"/>
      <c r="O104" s="68">
        <f t="shared" si="51"/>
        <v>72106.426500000001</v>
      </c>
      <c r="P104" s="68">
        <f t="shared" si="55"/>
        <v>7210.6426500000007</v>
      </c>
      <c r="Q104" s="68">
        <f t="shared" si="52"/>
        <v>14421.285300000001</v>
      </c>
      <c r="R104" s="66">
        <f t="shared" si="54"/>
        <v>5309.0999999999995</v>
      </c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109">
        <f t="shared" si="53"/>
        <v>99047.454450000005</v>
      </c>
      <c r="AE104" s="109">
        <f t="shared" si="45"/>
        <v>1188.5694533999999</v>
      </c>
    </row>
    <row r="105" spans="1:31" ht="12.75" customHeight="1">
      <c r="A105" s="95">
        <v>89</v>
      </c>
      <c r="B105" s="79" t="s">
        <v>316</v>
      </c>
      <c r="C105" s="81" t="s">
        <v>301</v>
      </c>
      <c r="D105" s="64" t="s">
        <v>286</v>
      </c>
      <c r="E105" s="110">
        <v>1</v>
      </c>
      <c r="F105" s="95">
        <v>2</v>
      </c>
      <c r="G105" s="95">
        <v>20.09</v>
      </c>
      <c r="H105" s="95">
        <v>2.81</v>
      </c>
      <c r="I105" s="68">
        <v>17697</v>
      </c>
      <c r="J105" s="96">
        <v>1.45</v>
      </c>
      <c r="K105" s="68">
        <f t="shared" si="47"/>
        <v>72106.426500000001</v>
      </c>
      <c r="L105" s="68"/>
      <c r="M105" s="68">
        <f t="shared" si="48"/>
        <v>72106.426500000001</v>
      </c>
      <c r="N105" s="68"/>
      <c r="O105" s="68">
        <f t="shared" si="51"/>
        <v>72106.426500000001</v>
      </c>
      <c r="P105" s="68">
        <f t="shared" si="55"/>
        <v>7210.6426500000007</v>
      </c>
      <c r="Q105" s="68">
        <f t="shared" si="52"/>
        <v>14421.285300000001</v>
      </c>
      <c r="R105" s="66">
        <f t="shared" si="54"/>
        <v>5309.0999999999995</v>
      </c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109">
        <f t="shared" si="53"/>
        <v>99047.454450000005</v>
      </c>
      <c r="AE105" s="109">
        <f t="shared" si="45"/>
        <v>1188.5694533999999</v>
      </c>
    </row>
    <row r="106" spans="1:31" ht="12.75" customHeight="1">
      <c r="A106" s="95">
        <v>90</v>
      </c>
      <c r="B106" s="79" t="s">
        <v>317</v>
      </c>
      <c r="C106" s="81" t="s">
        <v>301</v>
      </c>
      <c r="D106" s="64" t="s">
        <v>286</v>
      </c>
      <c r="E106" s="110">
        <v>1</v>
      </c>
      <c r="F106" s="95">
        <v>2</v>
      </c>
      <c r="G106" s="96">
        <v>16.059999999999999</v>
      </c>
      <c r="H106" s="95">
        <v>2.81</v>
      </c>
      <c r="I106" s="68">
        <v>17697</v>
      </c>
      <c r="J106" s="96">
        <v>1.45</v>
      </c>
      <c r="K106" s="68">
        <f t="shared" si="47"/>
        <v>72106.426500000001</v>
      </c>
      <c r="L106" s="68"/>
      <c r="M106" s="68">
        <f t="shared" si="48"/>
        <v>72106.426500000001</v>
      </c>
      <c r="N106" s="68"/>
      <c r="O106" s="68">
        <f t="shared" si="51"/>
        <v>72106.426500000001</v>
      </c>
      <c r="P106" s="68">
        <f t="shared" si="55"/>
        <v>7210.6426500000007</v>
      </c>
      <c r="Q106" s="68">
        <f t="shared" si="52"/>
        <v>14421.285300000001</v>
      </c>
      <c r="R106" s="66">
        <f t="shared" si="54"/>
        <v>5309.0999999999995</v>
      </c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109">
        <f t="shared" si="53"/>
        <v>99047.454450000005</v>
      </c>
      <c r="AE106" s="109">
        <f t="shared" si="45"/>
        <v>1188.5694533999999</v>
      </c>
    </row>
    <row r="107" spans="1:31" ht="12.75" customHeight="1">
      <c r="A107" s="95">
        <v>91</v>
      </c>
      <c r="B107" s="79" t="s">
        <v>318</v>
      </c>
      <c r="C107" s="81" t="s">
        <v>301</v>
      </c>
      <c r="D107" s="64" t="s">
        <v>286</v>
      </c>
      <c r="E107" s="110">
        <v>1</v>
      </c>
      <c r="F107" s="95">
        <v>2</v>
      </c>
      <c r="G107" s="95">
        <v>8.02</v>
      </c>
      <c r="H107" s="95">
        <v>2.81</v>
      </c>
      <c r="I107" s="68">
        <v>17697</v>
      </c>
      <c r="J107" s="96">
        <v>1.45</v>
      </c>
      <c r="K107" s="68">
        <f t="shared" si="47"/>
        <v>72106.426500000001</v>
      </c>
      <c r="L107" s="68"/>
      <c r="M107" s="68">
        <f t="shared" si="48"/>
        <v>72106.426500000001</v>
      </c>
      <c r="N107" s="68"/>
      <c r="O107" s="68">
        <f t="shared" si="51"/>
        <v>72106.426500000001</v>
      </c>
      <c r="P107" s="68">
        <f t="shared" si="55"/>
        <v>7210.6426500000007</v>
      </c>
      <c r="Q107" s="68">
        <f t="shared" si="52"/>
        <v>14421.285300000001</v>
      </c>
      <c r="R107" s="66">
        <f t="shared" si="54"/>
        <v>5309.0999999999995</v>
      </c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109">
        <f t="shared" si="53"/>
        <v>99047.454450000005</v>
      </c>
      <c r="AE107" s="109">
        <f t="shared" si="45"/>
        <v>1188.5694533999999</v>
      </c>
    </row>
    <row r="108" spans="1:31" ht="12.75" customHeight="1">
      <c r="A108" s="95">
        <v>92</v>
      </c>
      <c r="B108" s="79" t="s">
        <v>319</v>
      </c>
      <c r="C108" s="81" t="s">
        <v>301</v>
      </c>
      <c r="D108" s="64" t="s">
        <v>286</v>
      </c>
      <c r="E108" s="110">
        <v>1</v>
      </c>
      <c r="F108" s="95">
        <v>2</v>
      </c>
      <c r="G108" s="95">
        <v>18.02</v>
      </c>
      <c r="H108" s="95">
        <v>2.81</v>
      </c>
      <c r="I108" s="68">
        <v>17697</v>
      </c>
      <c r="J108" s="96">
        <v>1.45</v>
      </c>
      <c r="K108" s="68">
        <f t="shared" si="47"/>
        <v>72106.426500000001</v>
      </c>
      <c r="L108" s="68"/>
      <c r="M108" s="68">
        <f t="shared" si="48"/>
        <v>72106.426500000001</v>
      </c>
      <c r="N108" s="68"/>
      <c r="O108" s="68">
        <f t="shared" si="51"/>
        <v>72106.426500000001</v>
      </c>
      <c r="P108" s="68">
        <f t="shared" si="55"/>
        <v>7210.6426500000007</v>
      </c>
      <c r="Q108" s="68">
        <f t="shared" si="52"/>
        <v>14421.285300000001</v>
      </c>
      <c r="R108" s="66">
        <f t="shared" si="54"/>
        <v>5309.0999999999995</v>
      </c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109">
        <f t="shared" si="53"/>
        <v>99047.454450000005</v>
      </c>
      <c r="AE108" s="109">
        <f t="shared" si="45"/>
        <v>1188.5694533999999</v>
      </c>
    </row>
    <row r="109" spans="1:31" ht="12.75" customHeight="1">
      <c r="A109" s="95">
        <v>93</v>
      </c>
      <c r="B109" s="79" t="s">
        <v>320</v>
      </c>
      <c r="C109" s="81" t="s">
        <v>301</v>
      </c>
      <c r="D109" s="64" t="s">
        <v>286</v>
      </c>
      <c r="E109" s="110">
        <v>1</v>
      </c>
      <c r="F109" s="95">
        <v>2</v>
      </c>
      <c r="G109" s="95">
        <v>4.0199999999999996</v>
      </c>
      <c r="H109" s="95">
        <v>2.81</v>
      </c>
      <c r="I109" s="68">
        <v>17697</v>
      </c>
      <c r="J109" s="96">
        <v>1.45</v>
      </c>
      <c r="K109" s="68">
        <f t="shared" si="47"/>
        <v>72106.426500000001</v>
      </c>
      <c r="L109" s="68"/>
      <c r="M109" s="68">
        <f t="shared" si="48"/>
        <v>72106.426500000001</v>
      </c>
      <c r="N109" s="68"/>
      <c r="O109" s="68">
        <f t="shared" si="51"/>
        <v>72106.426500000001</v>
      </c>
      <c r="P109" s="68">
        <f t="shared" si="55"/>
        <v>7210.6426500000007</v>
      </c>
      <c r="Q109" s="68">
        <f t="shared" si="52"/>
        <v>14421.285300000001</v>
      </c>
      <c r="R109" s="66">
        <f t="shared" si="54"/>
        <v>5309.0999999999995</v>
      </c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109">
        <f t="shared" si="53"/>
        <v>99047.454450000005</v>
      </c>
      <c r="AE109" s="109">
        <f t="shared" si="45"/>
        <v>1188.5694533999999</v>
      </c>
    </row>
    <row r="110" spans="1:31" ht="12.75" customHeight="1">
      <c r="A110" s="95">
        <v>94</v>
      </c>
      <c r="B110" s="79" t="s">
        <v>321</v>
      </c>
      <c r="C110" s="81" t="s">
        <v>301</v>
      </c>
      <c r="D110" s="64" t="s">
        <v>286</v>
      </c>
      <c r="E110" s="110">
        <v>1</v>
      </c>
      <c r="F110" s="95">
        <v>2</v>
      </c>
      <c r="G110" s="96">
        <v>1.05</v>
      </c>
      <c r="H110" s="95">
        <v>2.81</v>
      </c>
      <c r="I110" s="68">
        <v>17697</v>
      </c>
      <c r="J110" s="96">
        <v>1.45</v>
      </c>
      <c r="K110" s="68">
        <f t="shared" si="47"/>
        <v>72106.426500000001</v>
      </c>
      <c r="L110" s="68"/>
      <c r="M110" s="68">
        <f t="shared" si="48"/>
        <v>72106.426500000001</v>
      </c>
      <c r="N110" s="68"/>
      <c r="O110" s="68">
        <f t="shared" si="51"/>
        <v>72106.426500000001</v>
      </c>
      <c r="P110" s="68">
        <f t="shared" si="55"/>
        <v>7210.6426500000007</v>
      </c>
      <c r="Q110" s="68">
        <f t="shared" si="52"/>
        <v>14421.285300000001</v>
      </c>
      <c r="R110" s="66">
        <f t="shared" si="54"/>
        <v>5309.0999999999995</v>
      </c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109">
        <f t="shared" si="53"/>
        <v>99047.454450000005</v>
      </c>
      <c r="AE110" s="109">
        <f t="shared" si="45"/>
        <v>1188.5694533999999</v>
      </c>
    </row>
    <row r="111" spans="1:31" ht="12.75" customHeight="1">
      <c r="A111" s="95">
        <v>95</v>
      </c>
      <c r="B111" s="79" t="s">
        <v>322</v>
      </c>
      <c r="C111" s="81" t="s">
        <v>301</v>
      </c>
      <c r="D111" s="64" t="s">
        <v>286</v>
      </c>
      <c r="E111" s="110">
        <v>1</v>
      </c>
      <c r="F111" s="95">
        <v>2</v>
      </c>
      <c r="G111" s="95">
        <v>9.09</v>
      </c>
      <c r="H111" s="95">
        <v>2.81</v>
      </c>
      <c r="I111" s="68">
        <v>17697</v>
      </c>
      <c r="J111" s="96">
        <v>1.45</v>
      </c>
      <c r="K111" s="68">
        <f t="shared" si="47"/>
        <v>72106.426500000001</v>
      </c>
      <c r="L111" s="68"/>
      <c r="M111" s="68">
        <f t="shared" si="48"/>
        <v>72106.426500000001</v>
      </c>
      <c r="N111" s="68"/>
      <c r="O111" s="68">
        <f t="shared" si="51"/>
        <v>72106.426500000001</v>
      </c>
      <c r="P111" s="68">
        <f t="shared" si="55"/>
        <v>7210.6426500000007</v>
      </c>
      <c r="Q111" s="68">
        <f t="shared" si="52"/>
        <v>14421.285300000001</v>
      </c>
      <c r="R111" s="66">
        <f t="shared" si="54"/>
        <v>5309.0999999999995</v>
      </c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109">
        <f t="shared" si="53"/>
        <v>99047.454450000005</v>
      </c>
      <c r="AE111" s="109">
        <f t="shared" si="45"/>
        <v>1188.5694533999999</v>
      </c>
    </row>
    <row r="112" spans="1:31" ht="12.75" customHeight="1">
      <c r="A112" s="95">
        <v>96</v>
      </c>
      <c r="B112" s="79" t="s">
        <v>323</v>
      </c>
      <c r="C112" s="81" t="s">
        <v>301</v>
      </c>
      <c r="D112" s="64" t="s">
        <v>286</v>
      </c>
      <c r="E112" s="110">
        <v>1</v>
      </c>
      <c r="F112" s="95">
        <v>2</v>
      </c>
      <c r="G112" s="95">
        <v>23</v>
      </c>
      <c r="H112" s="95">
        <v>2.81</v>
      </c>
      <c r="I112" s="68">
        <v>17697</v>
      </c>
      <c r="J112" s="96">
        <v>1.45</v>
      </c>
      <c r="K112" s="68">
        <f t="shared" si="47"/>
        <v>72106.426500000001</v>
      </c>
      <c r="L112" s="68"/>
      <c r="M112" s="68">
        <f t="shared" si="48"/>
        <v>72106.426500000001</v>
      </c>
      <c r="N112" s="68"/>
      <c r="O112" s="68">
        <f t="shared" si="51"/>
        <v>72106.426500000001</v>
      </c>
      <c r="P112" s="68">
        <f t="shared" si="55"/>
        <v>7210.6426500000007</v>
      </c>
      <c r="Q112" s="68">
        <f t="shared" si="52"/>
        <v>14421.285300000001</v>
      </c>
      <c r="R112" s="66">
        <f t="shared" si="54"/>
        <v>5309.0999999999995</v>
      </c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109">
        <f t="shared" si="53"/>
        <v>99047.454450000005</v>
      </c>
      <c r="AE112" s="109">
        <f t="shared" si="45"/>
        <v>1188.5694533999999</v>
      </c>
    </row>
    <row r="113" spans="1:31" ht="12.75" customHeight="1">
      <c r="A113" s="95">
        <v>97</v>
      </c>
      <c r="B113" s="79" t="s">
        <v>324</v>
      </c>
      <c r="C113" s="81" t="s">
        <v>301</v>
      </c>
      <c r="D113" s="64" t="s">
        <v>286</v>
      </c>
      <c r="E113" s="110">
        <v>1</v>
      </c>
      <c r="F113" s="95">
        <v>2</v>
      </c>
      <c r="G113" s="95">
        <v>10.08</v>
      </c>
      <c r="H113" s="95">
        <v>2.81</v>
      </c>
      <c r="I113" s="68">
        <v>17697</v>
      </c>
      <c r="J113" s="96">
        <v>1.45</v>
      </c>
      <c r="K113" s="68">
        <f t="shared" si="47"/>
        <v>72106.426500000001</v>
      </c>
      <c r="L113" s="68"/>
      <c r="M113" s="68">
        <f t="shared" si="48"/>
        <v>72106.426500000001</v>
      </c>
      <c r="N113" s="68"/>
      <c r="O113" s="68">
        <f t="shared" si="51"/>
        <v>72106.426500000001</v>
      </c>
      <c r="P113" s="68">
        <f t="shared" si="55"/>
        <v>7210.6426500000007</v>
      </c>
      <c r="Q113" s="68">
        <f t="shared" si="52"/>
        <v>14421.285300000001</v>
      </c>
      <c r="R113" s="66">
        <f t="shared" si="54"/>
        <v>5309.0999999999995</v>
      </c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109">
        <f t="shared" si="53"/>
        <v>99047.454450000005</v>
      </c>
      <c r="AE113" s="109">
        <f t="shared" si="45"/>
        <v>1188.5694533999999</v>
      </c>
    </row>
    <row r="114" spans="1:31" s="105" customFormat="1" ht="12.75" customHeight="1">
      <c r="A114" s="95">
        <v>98</v>
      </c>
      <c r="B114" s="79" t="s">
        <v>294</v>
      </c>
      <c r="C114" s="104" t="s">
        <v>293</v>
      </c>
      <c r="D114" s="64" t="s">
        <v>286</v>
      </c>
      <c r="E114" s="110">
        <v>1</v>
      </c>
      <c r="F114" s="95">
        <v>2</v>
      </c>
      <c r="G114" s="96">
        <v>23.08</v>
      </c>
      <c r="H114" s="95">
        <v>2.81</v>
      </c>
      <c r="I114" s="68">
        <v>17697</v>
      </c>
      <c r="J114" s="96">
        <v>1.45</v>
      </c>
      <c r="K114" s="68">
        <f>I114*E114*H114*J114</f>
        <v>72106.426500000001</v>
      </c>
      <c r="L114" s="68"/>
      <c r="M114" s="68">
        <f>K114+L114</f>
        <v>72106.426500000001</v>
      </c>
      <c r="N114" s="68"/>
      <c r="O114" s="68">
        <f t="shared" si="51"/>
        <v>72106.426500000001</v>
      </c>
      <c r="P114" s="68">
        <f t="shared" si="55"/>
        <v>7210.6426500000007</v>
      </c>
      <c r="Q114" s="68">
        <f t="shared" si="52"/>
        <v>14421.285300000001</v>
      </c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109">
        <f t="shared" si="53"/>
        <v>93738.354449999999</v>
      </c>
      <c r="AE114" s="109">
        <f t="shared" si="45"/>
        <v>1124.8602534000001</v>
      </c>
    </row>
    <row r="115" spans="1:31" s="105" customFormat="1" ht="12.75" customHeight="1">
      <c r="A115" s="95">
        <v>99</v>
      </c>
      <c r="B115" s="79" t="s">
        <v>295</v>
      </c>
      <c r="C115" s="104" t="s">
        <v>293</v>
      </c>
      <c r="D115" s="64" t="s">
        <v>286</v>
      </c>
      <c r="E115" s="110">
        <v>1</v>
      </c>
      <c r="F115" s="95">
        <v>2</v>
      </c>
      <c r="G115" s="95">
        <v>26.07</v>
      </c>
      <c r="H115" s="95">
        <v>2.81</v>
      </c>
      <c r="I115" s="68">
        <v>17697</v>
      </c>
      <c r="J115" s="96">
        <v>1.45</v>
      </c>
      <c r="K115" s="68">
        <f>I115*E115*H115*J115</f>
        <v>72106.426500000001</v>
      </c>
      <c r="L115" s="68"/>
      <c r="M115" s="68">
        <f>K115+L115</f>
        <v>72106.426500000001</v>
      </c>
      <c r="N115" s="68"/>
      <c r="O115" s="68">
        <f t="shared" si="51"/>
        <v>72106.426500000001</v>
      </c>
      <c r="P115" s="68">
        <f t="shared" si="55"/>
        <v>7210.6426500000007</v>
      </c>
      <c r="Q115" s="68">
        <f t="shared" si="52"/>
        <v>14421.285300000001</v>
      </c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109">
        <f t="shared" si="53"/>
        <v>93738.354449999999</v>
      </c>
      <c r="AE115" s="109">
        <f t="shared" si="45"/>
        <v>1124.8602534000001</v>
      </c>
    </row>
    <row r="116" spans="1:31" ht="12.75" customHeight="1">
      <c r="A116" s="95">
        <v>100</v>
      </c>
      <c r="B116" s="79" t="s">
        <v>325</v>
      </c>
      <c r="C116" s="230" t="s">
        <v>439</v>
      </c>
      <c r="D116" s="64" t="s">
        <v>286</v>
      </c>
      <c r="E116" s="110">
        <v>0.5</v>
      </c>
      <c r="F116" s="95">
        <v>2</v>
      </c>
      <c r="G116" s="95">
        <v>23</v>
      </c>
      <c r="H116" s="95">
        <v>2.81</v>
      </c>
      <c r="I116" s="68">
        <v>17697</v>
      </c>
      <c r="J116" s="96">
        <v>1.45</v>
      </c>
      <c r="K116" s="68">
        <f t="shared" si="47"/>
        <v>36053.213250000001</v>
      </c>
      <c r="L116" s="68"/>
      <c r="M116" s="68">
        <f t="shared" si="48"/>
        <v>36053.213250000001</v>
      </c>
      <c r="N116" s="68"/>
      <c r="O116" s="68">
        <f t="shared" si="51"/>
        <v>36053.213250000001</v>
      </c>
      <c r="P116" s="68">
        <f t="shared" si="55"/>
        <v>3605.3213250000003</v>
      </c>
      <c r="Q116" s="68">
        <f t="shared" si="52"/>
        <v>7210.6426500000007</v>
      </c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109">
        <f t="shared" si="53"/>
        <v>46869.177224999999</v>
      </c>
      <c r="AE116" s="109">
        <f t="shared" si="45"/>
        <v>562.43012670000007</v>
      </c>
    </row>
    <row r="117" spans="1:31" ht="12.75" customHeight="1">
      <c r="A117" s="95">
        <v>101</v>
      </c>
      <c r="B117" s="79" t="s">
        <v>325</v>
      </c>
      <c r="C117" s="111" t="s">
        <v>440</v>
      </c>
      <c r="D117" s="64" t="s">
        <v>286</v>
      </c>
      <c r="E117" s="110">
        <v>0.5</v>
      </c>
      <c r="F117" s="95">
        <v>2</v>
      </c>
      <c r="G117" s="95">
        <v>23</v>
      </c>
      <c r="H117" s="95">
        <v>2.81</v>
      </c>
      <c r="I117" s="68">
        <v>17697</v>
      </c>
      <c r="J117" s="96">
        <v>1.45</v>
      </c>
      <c r="K117" s="68">
        <f t="shared" si="47"/>
        <v>36053.213250000001</v>
      </c>
      <c r="L117" s="68"/>
      <c r="M117" s="68">
        <f t="shared" si="48"/>
        <v>36053.213250000001</v>
      </c>
      <c r="N117" s="68"/>
      <c r="O117" s="68">
        <f t="shared" si="51"/>
        <v>36053.213250000001</v>
      </c>
      <c r="P117" s="68">
        <f t="shared" si="55"/>
        <v>3605.3213250000003</v>
      </c>
      <c r="Q117" s="68">
        <f t="shared" si="52"/>
        <v>7210.6426500000007</v>
      </c>
      <c r="R117" s="66">
        <f>I117*E117*20%</f>
        <v>1769.7</v>
      </c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109">
        <f t="shared" si="53"/>
        <v>48638.877224999997</v>
      </c>
      <c r="AE117" s="109">
        <f t="shared" si="45"/>
        <v>583.66652669999996</v>
      </c>
    </row>
    <row r="118" spans="1:31" ht="12.75" customHeight="1">
      <c r="A118" s="95">
        <v>102</v>
      </c>
      <c r="B118" s="79" t="s">
        <v>326</v>
      </c>
      <c r="C118" s="111" t="s">
        <v>440</v>
      </c>
      <c r="D118" s="64" t="s">
        <v>286</v>
      </c>
      <c r="E118" s="110">
        <v>1</v>
      </c>
      <c r="F118" s="95">
        <v>2</v>
      </c>
      <c r="G118" s="95">
        <v>21.04</v>
      </c>
      <c r="H118" s="95">
        <v>2.81</v>
      </c>
      <c r="I118" s="68">
        <v>17697</v>
      </c>
      <c r="J118" s="96">
        <v>1.45</v>
      </c>
      <c r="K118" s="68">
        <f t="shared" si="47"/>
        <v>72106.426500000001</v>
      </c>
      <c r="L118" s="68"/>
      <c r="M118" s="68">
        <f t="shared" si="48"/>
        <v>72106.426500000001</v>
      </c>
      <c r="N118" s="68"/>
      <c r="O118" s="68">
        <f t="shared" si="51"/>
        <v>72106.426500000001</v>
      </c>
      <c r="P118" s="68">
        <f t="shared" si="55"/>
        <v>7210.6426500000007</v>
      </c>
      <c r="Q118" s="68">
        <f t="shared" si="52"/>
        <v>14421.285300000001</v>
      </c>
      <c r="R118" s="66">
        <f>I118*E118*20%</f>
        <v>3539.4</v>
      </c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109">
        <f t="shared" si="53"/>
        <v>97277.754449999993</v>
      </c>
      <c r="AE118" s="109">
        <f t="shared" si="45"/>
        <v>1167.3330533999999</v>
      </c>
    </row>
    <row r="119" spans="1:31" ht="12.75" customHeight="1">
      <c r="A119" s="95">
        <v>103</v>
      </c>
      <c r="B119" s="79" t="s">
        <v>771</v>
      </c>
      <c r="C119" s="81" t="s">
        <v>441</v>
      </c>
      <c r="D119" s="64" t="s">
        <v>286</v>
      </c>
      <c r="E119" s="110">
        <v>1</v>
      </c>
      <c r="F119" s="95">
        <v>2</v>
      </c>
      <c r="G119" s="96">
        <v>0.05</v>
      </c>
      <c r="H119" s="95">
        <v>2.81</v>
      </c>
      <c r="I119" s="68">
        <v>17697</v>
      </c>
      <c r="J119" s="96">
        <v>1.45</v>
      </c>
      <c r="K119" s="68">
        <f t="shared" si="47"/>
        <v>72106.426500000001</v>
      </c>
      <c r="L119" s="68"/>
      <c r="M119" s="68">
        <f t="shared" si="48"/>
        <v>72106.426500000001</v>
      </c>
      <c r="N119" s="68"/>
      <c r="O119" s="68">
        <f t="shared" si="51"/>
        <v>72106.426500000001</v>
      </c>
      <c r="P119" s="68">
        <f t="shared" si="55"/>
        <v>7210.6426500000007</v>
      </c>
      <c r="Q119" s="68">
        <f t="shared" si="52"/>
        <v>14421.285300000001</v>
      </c>
      <c r="R119" s="66">
        <f>I119*E119*20%</f>
        <v>3539.4</v>
      </c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109">
        <f t="shared" si="53"/>
        <v>97277.754449999993</v>
      </c>
      <c r="AE119" s="109">
        <f t="shared" si="45"/>
        <v>1167.3330533999999</v>
      </c>
    </row>
    <row r="120" spans="1:31" ht="12.75" customHeight="1">
      <c r="A120" s="95">
        <v>104</v>
      </c>
      <c r="B120" s="79" t="s">
        <v>331</v>
      </c>
      <c r="C120" s="111" t="s">
        <v>330</v>
      </c>
      <c r="D120" s="64" t="s">
        <v>286</v>
      </c>
      <c r="E120" s="110">
        <v>1</v>
      </c>
      <c r="F120" s="95">
        <v>2</v>
      </c>
      <c r="G120" s="96">
        <v>3.06</v>
      </c>
      <c r="H120" s="95">
        <v>2.81</v>
      </c>
      <c r="I120" s="68">
        <v>17697</v>
      </c>
      <c r="J120" s="96">
        <v>1.45</v>
      </c>
      <c r="K120" s="68">
        <f t="shared" si="47"/>
        <v>72106.426500000001</v>
      </c>
      <c r="L120" s="68"/>
      <c r="M120" s="68">
        <f t="shared" si="48"/>
        <v>72106.426500000001</v>
      </c>
      <c r="N120" s="68"/>
      <c r="O120" s="68">
        <f t="shared" si="51"/>
        <v>72106.426500000001</v>
      </c>
      <c r="P120" s="68">
        <f t="shared" si="55"/>
        <v>7210.6426500000007</v>
      </c>
      <c r="Q120" s="68">
        <f t="shared" si="52"/>
        <v>14421.285300000001</v>
      </c>
      <c r="R120" s="66">
        <f t="shared" si="54"/>
        <v>5309.0999999999995</v>
      </c>
      <c r="S120" s="66"/>
      <c r="T120" s="66"/>
      <c r="U120" s="66">
        <v>10336</v>
      </c>
      <c r="V120" s="66">
        <v>10571</v>
      </c>
      <c r="W120" s="66"/>
      <c r="X120" s="66"/>
      <c r="Y120" s="66"/>
      <c r="Z120" s="66"/>
      <c r="AA120" s="66"/>
      <c r="AB120" s="66"/>
      <c r="AC120" s="66"/>
      <c r="AD120" s="109">
        <f t="shared" si="53"/>
        <v>119954.45445</v>
      </c>
      <c r="AE120" s="109">
        <f t="shared" si="45"/>
        <v>1439.4534533999999</v>
      </c>
    </row>
    <row r="121" spans="1:31" ht="12.75" customHeight="1">
      <c r="A121" s="95">
        <v>105</v>
      </c>
      <c r="B121" s="79" t="s">
        <v>178</v>
      </c>
      <c r="C121" s="111" t="s">
        <v>330</v>
      </c>
      <c r="D121" s="64" t="s">
        <v>286</v>
      </c>
      <c r="E121" s="110">
        <v>1</v>
      </c>
      <c r="F121" s="95">
        <v>2</v>
      </c>
      <c r="G121" s="95">
        <v>1.04</v>
      </c>
      <c r="H121" s="95">
        <v>2.81</v>
      </c>
      <c r="I121" s="68">
        <v>17697</v>
      </c>
      <c r="J121" s="96">
        <v>1.45</v>
      </c>
      <c r="K121" s="68">
        <f t="shared" si="47"/>
        <v>72106.426500000001</v>
      </c>
      <c r="L121" s="68"/>
      <c r="M121" s="68">
        <f t="shared" si="48"/>
        <v>72106.426500000001</v>
      </c>
      <c r="N121" s="68"/>
      <c r="O121" s="68">
        <f t="shared" si="51"/>
        <v>72106.426500000001</v>
      </c>
      <c r="P121" s="68">
        <f t="shared" si="55"/>
        <v>7210.6426500000007</v>
      </c>
      <c r="Q121" s="68">
        <f t="shared" si="52"/>
        <v>14421.285300000001</v>
      </c>
      <c r="R121" s="66">
        <f t="shared" si="54"/>
        <v>5309.0999999999995</v>
      </c>
      <c r="S121" s="66"/>
      <c r="T121" s="66"/>
      <c r="U121" s="66">
        <v>10336</v>
      </c>
      <c r="V121" s="66">
        <v>10571</v>
      </c>
      <c r="W121" s="66"/>
      <c r="X121" s="66"/>
      <c r="Y121" s="66"/>
      <c r="Z121" s="66"/>
      <c r="AA121" s="66"/>
      <c r="AB121" s="66"/>
      <c r="AC121" s="66"/>
      <c r="AD121" s="109">
        <f t="shared" si="53"/>
        <v>119954.45445</v>
      </c>
      <c r="AE121" s="109">
        <f t="shared" si="45"/>
        <v>1439.4534533999999</v>
      </c>
    </row>
    <row r="122" spans="1:31" ht="12.75" customHeight="1">
      <c r="A122" s="95">
        <v>106</v>
      </c>
      <c r="B122" s="79" t="s">
        <v>178</v>
      </c>
      <c r="C122" s="111" t="s">
        <v>330</v>
      </c>
      <c r="D122" s="64" t="s">
        <v>286</v>
      </c>
      <c r="E122" s="110">
        <v>1</v>
      </c>
      <c r="F122" s="95">
        <v>2</v>
      </c>
      <c r="G122" s="95">
        <v>27.09</v>
      </c>
      <c r="H122" s="95">
        <v>2.81</v>
      </c>
      <c r="I122" s="68">
        <v>17697</v>
      </c>
      <c r="J122" s="96">
        <v>1.45</v>
      </c>
      <c r="K122" s="68">
        <f t="shared" si="47"/>
        <v>72106.426500000001</v>
      </c>
      <c r="L122" s="68"/>
      <c r="M122" s="68">
        <f t="shared" si="48"/>
        <v>72106.426500000001</v>
      </c>
      <c r="N122" s="68"/>
      <c r="O122" s="68">
        <f t="shared" si="51"/>
        <v>72106.426500000001</v>
      </c>
      <c r="P122" s="68">
        <f t="shared" si="55"/>
        <v>7210.6426500000007</v>
      </c>
      <c r="Q122" s="68">
        <f t="shared" si="52"/>
        <v>14421.285300000001</v>
      </c>
      <c r="R122" s="66">
        <f t="shared" si="54"/>
        <v>5309.0999999999995</v>
      </c>
      <c r="S122" s="66"/>
      <c r="T122" s="66"/>
      <c r="U122" s="66">
        <v>10336</v>
      </c>
      <c r="V122" s="66">
        <v>10571</v>
      </c>
      <c r="W122" s="66"/>
      <c r="X122" s="66"/>
      <c r="Y122" s="66"/>
      <c r="Z122" s="66"/>
      <c r="AA122" s="66"/>
      <c r="AB122" s="66"/>
      <c r="AC122" s="66"/>
      <c r="AD122" s="109">
        <f t="shared" si="53"/>
        <v>119954.45445</v>
      </c>
      <c r="AE122" s="109">
        <f t="shared" si="45"/>
        <v>1439.4534533999999</v>
      </c>
    </row>
    <row r="123" spans="1:31" ht="12.75" customHeight="1">
      <c r="A123" s="95">
        <v>107</v>
      </c>
      <c r="B123" s="79" t="s">
        <v>178</v>
      </c>
      <c r="C123" s="111" t="s">
        <v>330</v>
      </c>
      <c r="D123" s="64" t="s">
        <v>286</v>
      </c>
      <c r="E123" s="110">
        <v>1</v>
      </c>
      <c r="F123" s="95">
        <v>2</v>
      </c>
      <c r="G123" s="95">
        <v>0.03</v>
      </c>
      <c r="H123" s="95">
        <v>2.81</v>
      </c>
      <c r="I123" s="68">
        <v>17697</v>
      </c>
      <c r="J123" s="96">
        <v>1.45</v>
      </c>
      <c r="K123" s="68">
        <f t="shared" si="47"/>
        <v>72106.426500000001</v>
      </c>
      <c r="L123" s="68"/>
      <c r="M123" s="68">
        <f t="shared" si="48"/>
        <v>72106.426500000001</v>
      </c>
      <c r="N123" s="68"/>
      <c r="O123" s="68">
        <f t="shared" si="51"/>
        <v>72106.426500000001</v>
      </c>
      <c r="P123" s="68">
        <f t="shared" si="55"/>
        <v>7210.6426500000007</v>
      </c>
      <c r="Q123" s="68">
        <f t="shared" si="52"/>
        <v>14421.285300000001</v>
      </c>
      <c r="R123" s="66">
        <f t="shared" si="54"/>
        <v>5309.0999999999995</v>
      </c>
      <c r="S123" s="66"/>
      <c r="T123" s="66"/>
      <c r="U123" s="66">
        <v>10336</v>
      </c>
      <c r="V123" s="66">
        <v>10571</v>
      </c>
      <c r="W123" s="66"/>
      <c r="X123" s="66"/>
      <c r="Y123" s="66"/>
      <c r="Z123" s="66"/>
      <c r="AA123" s="66"/>
      <c r="AB123" s="66"/>
      <c r="AC123" s="66"/>
      <c r="AD123" s="109">
        <f t="shared" si="53"/>
        <v>119954.45445</v>
      </c>
      <c r="AE123" s="109">
        <f t="shared" si="45"/>
        <v>1439.4534533999999</v>
      </c>
    </row>
    <row r="124" spans="1:31" ht="12.75" customHeight="1">
      <c r="A124" s="95">
        <v>108</v>
      </c>
      <c r="B124" s="79" t="s">
        <v>178</v>
      </c>
      <c r="C124" s="111" t="s">
        <v>330</v>
      </c>
      <c r="D124" s="64" t="s">
        <v>286</v>
      </c>
      <c r="E124" s="110">
        <v>1</v>
      </c>
      <c r="F124" s="95">
        <v>2</v>
      </c>
      <c r="G124" s="95">
        <v>0.03</v>
      </c>
      <c r="H124" s="95">
        <v>2.81</v>
      </c>
      <c r="I124" s="68">
        <v>17697</v>
      </c>
      <c r="J124" s="96">
        <v>1.45</v>
      </c>
      <c r="K124" s="68">
        <f t="shared" si="47"/>
        <v>72106.426500000001</v>
      </c>
      <c r="L124" s="68"/>
      <c r="M124" s="68">
        <f t="shared" si="48"/>
        <v>72106.426500000001</v>
      </c>
      <c r="N124" s="68"/>
      <c r="O124" s="68">
        <f t="shared" si="51"/>
        <v>72106.426500000001</v>
      </c>
      <c r="P124" s="68">
        <f t="shared" si="55"/>
        <v>7210.6426500000007</v>
      </c>
      <c r="Q124" s="68">
        <f t="shared" si="52"/>
        <v>14421.285300000001</v>
      </c>
      <c r="R124" s="66">
        <f t="shared" si="54"/>
        <v>5309.0999999999995</v>
      </c>
      <c r="S124" s="66"/>
      <c r="T124" s="66"/>
      <c r="U124" s="66">
        <v>10336</v>
      </c>
      <c r="V124" s="66">
        <v>10571</v>
      </c>
      <c r="W124" s="66"/>
      <c r="X124" s="66"/>
      <c r="Y124" s="66"/>
      <c r="Z124" s="66"/>
      <c r="AA124" s="66"/>
      <c r="AB124" s="66"/>
      <c r="AC124" s="66"/>
      <c r="AD124" s="109">
        <f t="shared" si="53"/>
        <v>119954.45445</v>
      </c>
      <c r="AE124" s="109">
        <f t="shared" si="45"/>
        <v>1439.4534533999999</v>
      </c>
    </row>
    <row r="125" spans="1:31" ht="12.75" customHeight="1">
      <c r="A125" s="95">
        <v>109</v>
      </c>
      <c r="B125" s="79" t="s">
        <v>178</v>
      </c>
      <c r="C125" s="111" t="s">
        <v>330</v>
      </c>
      <c r="D125" s="64" t="s">
        <v>286</v>
      </c>
      <c r="E125" s="110">
        <v>1</v>
      </c>
      <c r="F125" s="95">
        <v>2</v>
      </c>
      <c r="G125" s="96">
        <v>0</v>
      </c>
      <c r="H125" s="95">
        <v>2.81</v>
      </c>
      <c r="I125" s="68">
        <v>17697</v>
      </c>
      <c r="J125" s="96">
        <v>1.45</v>
      </c>
      <c r="K125" s="68">
        <f t="shared" si="47"/>
        <v>72106.426500000001</v>
      </c>
      <c r="L125" s="68"/>
      <c r="M125" s="68">
        <f t="shared" si="48"/>
        <v>72106.426500000001</v>
      </c>
      <c r="N125" s="68"/>
      <c r="O125" s="68">
        <f t="shared" si="51"/>
        <v>72106.426500000001</v>
      </c>
      <c r="P125" s="68">
        <f t="shared" si="55"/>
        <v>7210.6426500000007</v>
      </c>
      <c r="Q125" s="68">
        <f t="shared" si="52"/>
        <v>14421.285300000001</v>
      </c>
      <c r="R125" s="66">
        <f t="shared" si="54"/>
        <v>5309.0999999999995</v>
      </c>
      <c r="S125" s="66"/>
      <c r="T125" s="66"/>
      <c r="U125" s="66">
        <v>10336</v>
      </c>
      <c r="V125" s="66">
        <v>10571</v>
      </c>
      <c r="W125" s="66"/>
      <c r="X125" s="66"/>
      <c r="Y125" s="66"/>
      <c r="Z125" s="66"/>
      <c r="AA125" s="66"/>
      <c r="AB125" s="66"/>
      <c r="AC125" s="66"/>
      <c r="AD125" s="109">
        <f t="shared" si="53"/>
        <v>119954.45445</v>
      </c>
      <c r="AE125" s="109">
        <f t="shared" si="45"/>
        <v>1439.4534533999999</v>
      </c>
    </row>
    <row r="126" spans="1:31" s="105" customFormat="1" ht="27" customHeight="1">
      <c r="A126" s="95">
        <v>110</v>
      </c>
      <c r="B126" s="79" t="s">
        <v>290</v>
      </c>
      <c r="C126" s="486" t="s">
        <v>285</v>
      </c>
      <c r="D126" s="64" t="s">
        <v>840</v>
      </c>
      <c r="E126" s="110">
        <v>1</v>
      </c>
      <c r="F126" s="95">
        <v>3</v>
      </c>
      <c r="G126" s="95">
        <v>23.1</v>
      </c>
      <c r="H126" s="95">
        <v>2.84</v>
      </c>
      <c r="I126" s="68">
        <v>17697</v>
      </c>
      <c r="J126" s="96">
        <v>1.45</v>
      </c>
      <c r="K126" s="68">
        <f t="shared" ref="K126" si="56">I126*E126*H126*J126</f>
        <v>72876.245999999985</v>
      </c>
      <c r="L126" s="68"/>
      <c r="M126" s="68">
        <f t="shared" ref="M126" si="57">K126+L126</f>
        <v>72876.245999999985</v>
      </c>
      <c r="N126" s="68"/>
      <c r="O126" s="68">
        <f t="shared" si="51"/>
        <v>72876.245999999985</v>
      </c>
      <c r="P126" s="68">
        <f t="shared" si="55"/>
        <v>7287.6245999999992</v>
      </c>
      <c r="Q126" s="68">
        <f t="shared" si="52"/>
        <v>14575.249199999998</v>
      </c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109">
        <f t="shared" si="53"/>
        <v>94739.119799999986</v>
      </c>
      <c r="AE126" s="109">
        <f t="shared" si="45"/>
        <v>1136.8694375999999</v>
      </c>
    </row>
    <row r="127" spans="1:31" s="105" customFormat="1" ht="27" customHeight="1">
      <c r="A127" s="95">
        <v>111</v>
      </c>
      <c r="B127" s="79" t="s">
        <v>287</v>
      </c>
      <c r="C127" s="486" t="s">
        <v>285</v>
      </c>
      <c r="D127" s="64" t="s">
        <v>840</v>
      </c>
      <c r="E127" s="110">
        <v>1</v>
      </c>
      <c r="F127" s="95">
        <v>3</v>
      </c>
      <c r="G127" s="95">
        <v>25.11</v>
      </c>
      <c r="H127" s="95">
        <v>2.84</v>
      </c>
      <c r="I127" s="68">
        <v>17697</v>
      </c>
      <c r="J127" s="96">
        <v>1.45</v>
      </c>
      <c r="K127" s="68">
        <f t="shared" ref="K127:K132" si="58">I127*E127*H127*J127</f>
        <v>72876.245999999985</v>
      </c>
      <c r="L127" s="68"/>
      <c r="M127" s="68">
        <f t="shared" ref="M127:M132" si="59">K127+L127</f>
        <v>72876.245999999985</v>
      </c>
      <c r="N127" s="68"/>
      <c r="O127" s="68">
        <f t="shared" si="51"/>
        <v>72876.245999999985</v>
      </c>
      <c r="P127" s="68">
        <f t="shared" si="55"/>
        <v>7287.6245999999992</v>
      </c>
      <c r="Q127" s="68">
        <f t="shared" si="52"/>
        <v>14575.249199999998</v>
      </c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109">
        <f t="shared" si="53"/>
        <v>94739.119799999986</v>
      </c>
      <c r="AE127" s="109">
        <f t="shared" si="45"/>
        <v>1136.8694375999999</v>
      </c>
    </row>
    <row r="128" spans="1:31" s="105" customFormat="1" ht="27" customHeight="1">
      <c r="A128" s="95">
        <v>112</v>
      </c>
      <c r="B128" s="79" t="s">
        <v>288</v>
      </c>
      <c r="C128" s="486" t="s">
        <v>285</v>
      </c>
      <c r="D128" s="64" t="s">
        <v>840</v>
      </c>
      <c r="E128" s="110">
        <v>1</v>
      </c>
      <c r="F128" s="95">
        <v>3</v>
      </c>
      <c r="G128" s="95">
        <v>12.11</v>
      </c>
      <c r="H128" s="95">
        <v>2.84</v>
      </c>
      <c r="I128" s="68">
        <v>17697</v>
      </c>
      <c r="J128" s="96">
        <v>1.45</v>
      </c>
      <c r="K128" s="68">
        <f t="shared" si="58"/>
        <v>72876.245999999985</v>
      </c>
      <c r="L128" s="68"/>
      <c r="M128" s="68">
        <f t="shared" si="59"/>
        <v>72876.245999999985</v>
      </c>
      <c r="N128" s="68"/>
      <c r="O128" s="68">
        <f t="shared" si="51"/>
        <v>72876.245999999985</v>
      </c>
      <c r="P128" s="68">
        <f t="shared" si="55"/>
        <v>7287.6245999999992</v>
      </c>
      <c r="Q128" s="68">
        <f t="shared" si="52"/>
        <v>14575.249199999998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109">
        <f t="shared" si="53"/>
        <v>94739.119799999986</v>
      </c>
      <c r="AE128" s="109">
        <f t="shared" si="45"/>
        <v>1136.8694375999999</v>
      </c>
    </row>
    <row r="129" spans="1:31" s="105" customFormat="1" ht="12.75" customHeight="1">
      <c r="A129" s="95">
        <v>113</v>
      </c>
      <c r="B129" s="79" t="s">
        <v>464</v>
      </c>
      <c r="C129" s="104" t="s">
        <v>289</v>
      </c>
      <c r="D129" s="64" t="s">
        <v>840</v>
      </c>
      <c r="E129" s="110">
        <v>1</v>
      </c>
      <c r="F129" s="95">
        <v>3</v>
      </c>
      <c r="G129" s="95">
        <v>8.01</v>
      </c>
      <c r="H129" s="95">
        <v>2.84</v>
      </c>
      <c r="I129" s="68">
        <v>17697</v>
      </c>
      <c r="J129" s="96">
        <v>1.45</v>
      </c>
      <c r="K129" s="68">
        <f t="shared" si="58"/>
        <v>72876.245999999985</v>
      </c>
      <c r="L129" s="68"/>
      <c r="M129" s="68">
        <f t="shared" si="59"/>
        <v>72876.245999999985</v>
      </c>
      <c r="N129" s="68"/>
      <c r="O129" s="68">
        <f t="shared" si="51"/>
        <v>72876.245999999985</v>
      </c>
      <c r="P129" s="68">
        <f t="shared" si="55"/>
        <v>7287.6245999999992</v>
      </c>
      <c r="Q129" s="68">
        <f t="shared" si="52"/>
        <v>14575.249199999998</v>
      </c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109">
        <f t="shared" si="53"/>
        <v>94739.119799999986</v>
      </c>
      <c r="AE129" s="109">
        <f t="shared" si="45"/>
        <v>1136.8694375999999</v>
      </c>
    </row>
    <row r="130" spans="1:31" s="105" customFormat="1" ht="12.75" customHeight="1">
      <c r="A130" s="95">
        <v>114</v>
      </c>
      <c r="B130" s="224" t="s">
        <v>107</v>
      </c>
      <c r="C130" s="104" t="s">
        <v>289</v>
      </c>
      <c r="D130" s="64" t="s">
        <v>840</v>
      </c>
      <c r="E130" s="110">
        <v>1</v>
      </c>
      <c r="F130" s="95">
        <v>3</v>
      </c>
      <c r="G130" s="96">
        <v>0</v>
      </c>
      <c r="H130" s="95">
        <v>2.84</v>
      </c>
      <c r="I130" s="68">
        <v>17697</v>
      </c>
      <c r="J130" s="96">
        <v>1.45</v>
      </c>
      <c r="K130" s="68">
        <f t="shared" si="58"/>
        <v>72876.245999999985</v>
      </c>
      <c r="L130" s="68"/>
      <c r="M130" s="68">
        <f t="shared" si="59"/>
        <v>72876.245999999985</v>
      </c>
      <c r="N130" s="68"/>
      <c r="O130" s="68">
        <f t="shared" si="51"/>
        <v>72876.245999999985</v>
      </c>
      <c r="P130" s="68">
        <f t="shared" si="55"/>
        <v>7287.6245999999992</v>
      </c>
      <c r="Q130" s="68">
        <f t="shared" si="52"/>
        <v>14575.249199999998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109">
        <f t="shared" si="53"/>
        <v>94739.119799999986</v>
      </c>
      <c r="AE130" s="109">
        <f t="shared" si="45"/>
        <v>1136.8694375999999</v>
      </c>
    </row>
    <row r="131" spans="1:31" s="105" customFormat="1" ht="12.75" customHeight="1">
      <c r="A131" s="95">
        <v>115</v>
      </c>
      <c r="B131" s="79" t="s">
        <v>465</v>
      </c>
      <c r="C131" s="104" t="s">
        <v>291</v>
      </c>
      <c r="D131" s="64" t="s">
        <v>840</v>
      </c>
      <c r="E131" s="110">
        <v>1</v>
      </c>
      <c r="F131" s="95">
        <v>3</v>
      </c>
      <c r="G131" s="96">
        <v>0</v>
      </c>
      <c r="H131" s="95">
        <v>2.84</v>
      </c>
      <c r="I131" s="68">
        <v>17697</v>
      </c>
      <c r="J131" s="96">
        <v>1.45</v>
      </c>
      <c r="K131" s="68">
        <f t="shared" si="58"/>
        <v>72876.245999999985</v>
      </c>
      <c r="L131" s="68"/>
      <c r="M131" s="68">
        <f t="shared" si="59"/>
        <v>72876.245999999985</v>
      </c>
      <c r="N131" s="68"/>
      <c r="O131" s="68">
        <f t="shared" si="51"/>
        <v>72876.245999999985</v>
      </c>
      <c r="P131" s="68">
        <f t="shared" si="55"/>
        <v>7287.6245999999992</v>
      </c>
      <c r="Q131" s="68">
        <f t="shared" si="52"/>
        <v>14575.249199999998</v>
      </c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09">
        <f t="shared" si="53"/>
        <v>94739.119799999986</v>
      </c>
      <c r="AE131" s="109">
        <f t="shared" si="45"/>
        <v>1136.8694375999999</v>
      </c>
    </row>
    <row r="132" spans="1:31" s="105" customFormat="1" ht="12.75" customHeight="1">
      <c r="A132" s="95">
        <v>116</v>
      </c>
      <c r="B132" s="79" t="s">
        <v>292</v>
      </c>
      <c r="C132" s="104" t="s">
        <v>291</v>
      </c>
      <c r="D132" s="64" t="s">
        <v>840</v>
      </c>
      <c r="E132" s="110">
        <v>1</v>
      </c>
      <c r="F132" s="95">
        <v>3</v>
      </c>
      <c r="G132" s="95">
        <v>7.08</v>
      </c>
      <c r="H132" s="95">
        <v>2.84</v>
      </c>
      <c r="I132" s="68">
        <v>17697</v>
      </c>
      <c r="J132" s="96">
        <v>1.45</v>
      </c>
      <c r="K132" s="68">
        <f t="shared" si="58"/>
        <v>72876.245999999985</v>
      </c>
      <c r="L132" s="68"/>
      <c r="M132" s="68">
        <f t="shared" si="59"/>
        <v>72876.245999999985</v>
      </c>
      <c r="N132" s="68"/>
      <c r="O132" s="68">
        <f t="shared" si="51"/>
        <v>72876.245999999985</v>
      </c>
      <c r="P132" s="68">
        <f t="shared" si="55"/>
        <v>7287.6245999999992</v>
      </c>
      <c r="Q132" s="68">
        <f t="shared" si="52"/>
        <v>14575.249199999998</v>
      </c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109">
        <f t="shared" si="53"/>
        <v>94739.119799999986</v>
      </c>
      <c r="AE132" s="109">
        <f t="shared" si="45"/>
        <v>1136.8694375999999</v>
      </c>
    </row>
    <row r="133" spans="1:31" ht="12.75" customHeight="1">
      <c r="A133" s="95">
        <v>117</v>
      </c>
      <c r="B133" s="79" t="s">
        <v>333</v>
      </c>
      <c r="C133" s="104" t="s">
        <v>332</v>
      </c>
      <c r="D133" s="64" t="s">
        <v>840</v>
      </c>
      <c r="E133" s="110">
        <v>1</v>
      </c>
      <c r="F133" s="95">
        <v>3</v>
      </c>
      <c r="G133" s="95">
        <v>17.09</v>
      </c>
      <c r="H133" s="95">
        <v>2.84</v>
      </c>
      <c r="I133" s="68">
        <v>17697</v>
      </c>
      <c r="J133" s="96">
        <v>1.45</v>
      </c>
      <c r="K133" s="68">
        <f t="shared" si="47"/>
        <v>72876.245999999985</v>
      </c>
      <c r="L133" s="68"/>
      <c r="M133" s="68">
        <f t="shared" si="48"/>
        <v>72876.245999999985</v>
      </c>
      <c r="N133" s="68"/>
      <c r="O133" s="68">
        <f t="shared" si="51"/>
        <v>72876.245999999985</v>
      </c>
      <c r="P133" s="68">
        <f t="shared" si="55"/>
        <v>7287.6245999999992</v>
      </c>
      <c r="Q133" s="68">
        <f t="shared" si="52"/>
        <v>14575.249199999998</v>
      </c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09">
        <f t="shared" si="53"/>
        <v>94739.119799999986</v>
      </c>
      <c r="AE133" s="109">
        <f t="shared" si="45"/>
        <v>1136.8694375999999</v>
      </c>
    </row>
    <row r="134" spans="1:31" ht="12.75" customHeight="1">
      <c r="A134" s="95">
        <v>118</v>
      </c>
      <c r="B134" s="79" t="s">
        <v>328</v>
      </c>
      <c r="C134" s="81" t="s">
        <v>329</v>
      </c>
      <c r="D134" s="64" t="s">
        <v>840</v>
      </c>
      <c r="E134" s="110">
        <v>0.5</v>
      </c>
      <c r="F134" s="95">
        <v>3</v>
      </c>
      <c r="G134" s="95">
        <v>18.09</v>
      </c>
      <c r="H134" s="95">
        <v>2.84</v>
      </c>
      <c r="I134" s="68">
        <v>17697</v>
      </c>
      <c r="J134" s="96">
        <v>1.45</v>
      </c>
      <c r="K134" s="68">
        <f>I134*E134*H134*J134</f>
        <v>36438.122999999992</v>
      </c>
      <c r="L134" s="68"/>
      <c r="M134" s="68">
        <f>K134+L134</f>
        <v>36438.122999999992</v>
      </c>
      <c r="N134" s="68"/>
      <c r="O134" s="68">
        <f t="shared" si="51"/>
        <v>36438.122999999992</v>
      </c>
      <c r="P134" s="68">
        <f t="shared" si="55"/>
        <v>3643.8122999999996</v>
      </c>
      <c r="Q134" s="68">
        <f t="shared" si="52"/>
        <v>7287.6245999999992</v>
      </c>
      <c r="R134" s="66">
        <f>I134*E134*30%</f>
        <v>2654.5499999999997</v>
      </c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109">
        <f t="shared" si="53"/>
        <v>50024.109899999996</v>
      </c>
      <c r="AE134" s="109">
        <f t="shared" si="45"/>
        <v>600.28931880000005</v>
      </c>
    </row>
    <row r="135" spans="1:31" ht="12.75" customHeight="1">
      <c r="A135" s="95">
        <v>119</v>
      </c>
      <c r="B135" s="79" t="s">
        <v>463</v>
      </c>
      <c r="C135" s="81" t="s">
        <v>327</v>
      </c>
      <c r="D135" s="64" t="s">
        <v>840</v>
      </c>
      <c r="E135" s="110">
        <v>1</v>
      </c>
      <c r="F135" s="95">
        <v>4</v>
      </c>
      <c r="G135" s="96">
        <v>24.05</v>
      </c>
      <c r="H135" s="95">
        <v>2.89</v>
      </c>
      <c r="I135" s="68">
        <v>17697</v>
      </c>
      <c r="J135" s="96">
        <v>1.45</v>
      </c>
      <c r="K135" s="68">
        <f>I135*E135*H135*J135</f>
        <v>74159.2785</v>
      </c>
      <c r="L135" s="68"/>
      <c r="M135" s="68">
        <f>K135+L135</f>
        <v>74159.2785</v>
      </c>
      <c r="N135" s="68"/>
      <c r="O135" s="68">
        <f t="shared" si="51"/>
        <v>74159.2785</v>
      </c>
      <c r="P135" s="68">
        <f t="shared" si="55"/>
        <v>7415.92785</v>
      </c>
      <c r="Q135" s="68">
        <f t="shared" si="52"/>
        <v>14831.8557</v>
      </c>
      <c r="R135" s="66">
        <f>I135*E135*30%</f>
        <v>5309.0999999999995</v>
      </c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109">
        <f t="shared" si="53"/>
        <v>101716.16205</v>
      </c>
      <c r="AE135" s="109">
        <f t="shared" si="45"/>
        <v>1220.5939446</v>
      </c>
    </row>
    <row r="136" spans="1:31" ht="12.75" customHeight="1">
      <c r="A136" s="95">
        <v>120</v>
      </c>
      <c r="B136" s="79" t="s">
        <v>328</v>
      </c>
      <c r="C136" s="81" t="s">
        <v>327</v>
      </c>
      <c r="D136" s="64" t="s">
        <v>840</v>
      </c>
      <c r="E136" s="110">
        <v>0.5</v>
      </c>
      <c r="F136" s="95">
        <v>4</v>
      </c>
      <c r="G136" s="95">
        <v>18.09</v>
      </c>
      <c r="H136" s="95">
        <v>2.89</v>
      </c>
      <c r="I136" s="68">
        <v>17697</v>
      </c>
      <c r="J136" s="96">
        <v>1.45</v>
      </c>
      <c r="K136" s="68">
        <f>I136*E136*H136*J136</f>
        <v>37079.63925</v>
      </c>
      <c r="L136" s="68"/>
      <c r="M136" s="68">
        <f>K136+L136</f>
        <v>37079.63925</v>
      </c>
      <c r="N136" s="68"/>
      <c r="O136" s="68">
        <f t="shared" si="51"/>
        <v>37079.63925</v>
      </c>
      <c r="P136" s="68">
        <f t="shared" si="55"/>
        <v>3707.963925</v>
      </c>
      <c r="Q136" s="68">
        <f t="shared" si="52"/>
        <v>7415.92785</v>
      </c>
      <c r="R136" s="66">
        <f>I136*E136*30%</f>
        <v>2654.5499999999997</v>
      </c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109">
        <f t="shared" si="53"/>
        <v>50858.081024999999</v>
      </c>
      <c r="AE136" s="109">
        <f t="shared" si="45"/>
        <v>610.29697229999999</v>
      </c>
    </row>
    <row r="137" spans="1:31" ht="12.75" customHeight="1" thickBot="1">
      <c r="A137" s="95">
        <v>121</v>
      </c>
      <c r="B137" s="104" t="s">
        <v>335</v>
      </c>
      <c r="C137" s="112" t="s">
        <v>334</v>
      </c>
      <c r="D137" s="64" t="s">
        <v>840</v>
      </c>
      <c r="E137" s="110">
        <v>1</v>
      </c>
      <c r="F137" s="95">
        <v>4</v>
      </c>
      <c r="G137" s="95">
        <v>9.0399999999999991</v>
      </c>
      <c r="H137" s="95">
        <v>2.89</v>
      </c>
      <c r="I137" s="68">
        <v>17697</v>
      </c>
      <c r="J137" s="96">
        <v>1.45</v>
      </c>
      <c r="K137" s="68">
        <f t="shared" si="47"/>
        <v>74159.2785</v>
      </c>
      <c r="L137" s="68"/>
      <c r="M137" s="68">
        <f t="shared" si="48"/>
        <v>74159.2785</v>
      </c>
      <c r="N137" s="68"/>
      <c r="O137" s="68">
        <f t="shared" si="51"/>
        <v>74159.2785</v>
      </c>
      <c r="P137" s="68">
        <f t="shared" si="55"/>
        <v>7415.92785</v>
      </c>
      <c r="Q137" s="68">
        <f t="shared" si="52"/>
        <v>14831.8557</v>
      </c>
      <c r="R137" s="66"/>
      <c r="S137" s="66"/>
      <c r="T137" s="66">
        <v>6194</v>
      </c>
      <c r="U137" s="66"/>
      <c r="V137" s="66"/>
      <c r="W137" s="66"/>
      <c r="X137" s="66"/>
      <c r="Y137" s="66"/>
      <c r="Z137" s="66"/>
      <c r="AA137" s="66"/>
      <c r="AB137" s="66"/>
      <c r="AC137" s="66"/>
      <c r="AD137" s="109">
        <f t="shared" si="53"/>
        <v>102601.06204999999</v>
      </c>
      <c r="AE137" s="109">
        <f t="shared" si="45"/>
        <v>1231.2127446</v>
      </c>
    </row>
    <row r="138" spans="1:31" ht="13.5" thickBot="1">
      <c r="A138" s="364"/>
      <c r="B138" s="489" t="s">
        <v>380</v>
      </c>
      <c r="C138" s="376"/>
      <c r="D138" s="490"/>
      <c r="E138" s="378">
        <f>SUM(E84:E137)</f>
        <v>52</v>
      </c>
      <c r="F138" s="378"/>
      <c r="G138" s="378"/>
      <c r="H138" s="378"/>
      <c r="I138" s="378"/>
      <c r="J138" s="378"/>
      <c r="K138" s="378">
        <f>SUM(K84:K137)</f>
        <v>3755051.2177500003</v>
      </c>
      <c r="L138" s="378">
        <f t="shared" ref="L138:AE138" si="60">SUM(L84:L137)</f>
        <v>0</v>
      </c>
      <c r="M138" s="378">
        <f t="shared" si="60"/>
        <v>3755051.2177500003</v>
      </c>
      <c r="N138" s="378">
        <f t="shared" si="60"/>
        <v>0</v>
      </c>
      <c r="O138" s="378">
        <f t="shared" si="60"/>
        <v>3755051.2177500003</v>
      </c>
      <c r="P138" s="378">
        <f t="shared" si="60"/>
        <v>375505.12177499966</v>
      </c>
      <c r="Q138" s="378">
        <f t="shared" si="60"/>
        <v>751010.24354999932</v>
      </c>
      <c r="R138" s="378">
        <f t="shared" si="60"/>
        <v>178739.70000000007</v>
      </c>
      <c r="S138" s="378">
        <f t="shared" si="60"/>
        <v>0</v>
      </c>
      <c r="T138" s="378">
        <f t="shared" si="60"/>
        <v>6194</v>
      </c>
      <c r="U138" s="378">
        <f t="shared" si="60"/>
        <v>62016</v>
      </c>
      <c r="V138" s="378">
        <f t="shared" si="60"/>
        <v>63426</v>
      </c>
      <c r="W138" s="378">
        <f t="shared" si="60"/>
        <v>0</v>
      </c>
      <c r="X138" s="378">
        <f t="shared" si="60"/>
        <v>0</v>
      </c>
      <c r="Y138" s="378">
        <f t="shared" si="60"/>
        <v>0</v>
      </c>
      <c r="Z138" s="378">
        <f t="shared" si="60"/>
        <v>0</v>
      </c>
      <c r="AA138" s="378">
        <f t="shared" si="60"/>
        <v>0</v>
      </c>
      <c r="AB138" s="378">
        <f t="shared" si="60"/>
        <v>0</v>
      </c>
      <c r="AC138" s="378">
        <f t="shared" si="60"/>
        <v>0</v>
      </c>
      <c r="AD138" s="378">
        <f t="shared" si="60"/>
        <v>5191942.2830749974</v>
      </c>
      <c r="AE138" s="378">
        <f t="shared" si="60"/>
        <v>62303.30739689996</v>
      </c>
    </row>
    <row r="141" spans="1:31" ht="51" customHeight="1">
      <c r="B141" s="487" t="s">
        <v>196</v>
      </c>
      <c r="C141" s="92"/>
      <c r="D141" s="545" t="s">
        <v>381</v>
      </c>
      <c r="E141" s="542"/>
      <c r="F141" s="204"/>
      <c r="G141" s="204"/>
      <c r="H141" s="204"/>
      <c r="I141" s="491"/>
    </row>
    <row r="142" spans="1:31" ht="15.75">
      <c r="B142" s="327"/>
      <c r="C142" s="92"/>
      <c r="D142" s="328"/>
      <c r="E142" s="204"/>
      <c r="F142" s="204"/>
      <c r="G142" s="204"/>
      <c r="H142" s="204"/>
      <c r="I142" s="491"/>
    </row>
    <row r="143" spans="1:31" ht="47.25">
      <c r="B143" s="487" t="s">
        <v>382</v>
      </c>
      <c r="C143" s="92"/>
      <c r="D143" s="545" t="s">
        <v>383</v>
      </c>
      <c r="E143" s="542"/>
      <c r="F143" s="542"/>
      <c r="G143" s="204"/>
      <c r="H143" s="204"/>
      <c r="I143" s="491"/>
    </row>
    <row r="144" spans="1:31" ht="15.75">
      <c r="B144" s="487"/>
      <c r="C144" s="92"/>
      <c r="D144" s="457"/>
      <c r="E144" s="459"/>
      <c r="F144" s="459"/>
      <c r="G144" s="204"/>
      <c r="H144" s="204"/>
      <c r="I144" s="491"/>
    </row>
    <row r="145" spans="2:9" ht="15.75">
      <c r="B145" s="321" t="s">
        <v>336</v>
      </c>
      <c r="C145" s="322">
        <v>2</v>
      </c>
      <c r="D145" s="323"/>
      <c r="E145" s="458"/>
      <c r="F145" s="323"/>
      <c r="G145" s="204"/>
      <c r="H145" s="204"/>
      <c r="I145" s="491"/>
    </row>
    <row r="146" spans="2:9" ht="48" customHeight="1">
      <c r="B146" s="326" t="s">
        <v>337</v>
      </c>
      <c r="C146" s="322">
        <v>8389.7000000000007</v>
      </c>
      <c r="D146" s="541" t="s">
        <v>338</v>
      </c>
      <c r="E146" s="542"/>
      <c r="F146" s="541"/>
      <c r="G146" s="542"/>
      <c r="H146" s="204"/>
      <c r="I146" s="491"/>
    </row>
    <row r="147" spans="2:9" ht="15.75">
      <c r="B147" s="329"/>
      <c r="C147" s="92"/>
      <c r="D147" s="328"/>
      <c r="E147" s="204"/>
      <c r="F147" s="204"/>
      <c r="G147" s="204"/>
      <c r="H147" s="204"/>
      <c r="I147" s="491"/>
    </row>
    <row r="148" spans="2:9" ht="15.75">
      <c r="B148" s="329"/>
      <c r="C148" s="92"/>
      <c r="D148" s="328"/>
      <c r="E148" s="204"/>
      <c r="F148" s="204"/>
      <c r="G148" s="204"/>
      <c r="H148" s="204"/>
      <c r="I148" s="491"/>
    </row>
    <row r="149" spans="2:9" ht="15.75">
      <c r="B149" s="329"/>
      <c r="C149" s="92"/>
      <c r="D149" s="328"/>
      <c r="E149" s="204"/>
      <c r="F149" s="204"/>
      <c r="G149" s="204"/>
      <c r="H149" s="204"/>
      <c r="I149" s="491"/>
    </row>
  </sheetData>
  <mergeCells count="27">
    <mergeCell ref="A8:AE8"/>
    <mergeCell ref="A9:A10"/>
    <mergeCell ref="C9:C10"/>
    <mergeCell ref="B9:B10"/>
    <mergeCell ref="D9:D10"/>
    <mergeCell ref="E9:E10"/>
    <mergeCell ref="F9:F10"/>
    <mergeCell ref="G9:G10"/>
    <mergeCell ref="H9:H10"/>
    <mergeCell ref="Y9:AC9"/>
    <mergeCell ref="AD9:AD10"/>
    <mergeCell ref="AE9:AE10"/>
    <mergeCell ref="K9:K10"/>
    <mergeCell ref="J9:J10"/>
    <mergeCell ref="L9:L10"/>
    <mergeCell ref="M9:M10"/>
    <mergeCell ref="P9:V9"/>
    <mergeCell ref="B49:C49"/>
    <mergeCell ref="D143:F143"/>
    <mergeCell ref="D146:E146"/>
    <mergeCell ref="F146:G146"/>
    <mergeCell ref="D141:E141"/>
    <mergeCell ref="I9:I10"/>
    <mergeCell ref="B83:C83"/>
    <mergeCell ref="B77:C77"/>
    <mergeCell ref="N9:N10"/>
    <mergeCell ref="O9:O10"/>
  </mergeCells>
  <pageMargins left="0" right="0" top="0.19685039370078741" bottom="0.19685039370078741" header="0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R165"/>
  <sheetViews>
    <sheetView view="pageBreakPreview" zoomScale="90" zoomScaleNormal="76" zoomScaleSheetLayoutView="90" workbookViewId="0">
      <selection activeCell="AQ135" sqref="AQ135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8" style="82" customWidth="1"/>
    <col min="6" max="6" width="8.7109375" style="145" customWidth="1"/>
    <col min="7" max="7" width="6.7109375" style="198" customWidth="1"/>
    <col min="8" max="8" width="7.28515625" style="91" customWidth="1"/>
    <col min="9" max="9" width="6.85546875" style="85" customWidth="1"/>
    <col min="10" max="10" width="9.5703125" style="86" customWidth="1"/>
    <col min="11" max="11" width="7.85546875" style="87" customWidth="1"/>
    <col min="12" max="12" width="7.85546875" style="87" hidden="1" customWidth="1"/>
    <col min="13" max="13" width="5.85546875" style="87" customWidth="1"/>
    <col min="14" max="14" width="9.7109375" style="86" customWidth="1"/>
    <col min="15" max="15" width="7.5703125" style="12" customWidth="1"/>
    <col min="16" max="16" width="10" style="86" customWidth="1"/>
    <col min="17" max="17" width="6.42578125" style="12" customWidth="1"/>
    <col min="18" max="18" width="10.5703125" style="86" customWidth="1"/>
    <col min="19" max="19" width="9.5703125" style="87" customWidth="1"/>
    <col min="20" max="20" width="9.42578125" style="86" customWidth="1"/>
    <col min="21" max="21" width="9.140625" style="88" customWidth="1"/>
    <col min="22" max="22" width="9.5703125" style="88" customWidth="1"/>
    <col min="23" max="23" width="6.140625" style="87" customWidth="1"/>
    <col min="24" max="24" width="7.5703125" style="86" customWidth="1"/>
    <col min="25" max="25" width="6.7109375" style="89" customWidth="1"/>
    <col min="26" max="26" width="8.28515625" style="86" customWidth="1"/>
    <col min="27" max="27" width="6" style="87" customWidth="1"/>
    <col min="28" max="28" width="8.28515625" style="86" customWidth="1"/>
    <col min="29" max="29" width="6.140625" style="89" customWidth="1"/>
    <col min="30" max="30" width="8.140625" style="86" customWidth="1"/>
    <col min="31" max="31" width="7.85546875" style="86" customWidth="1"/>
    <col min="32" max="32" width="6.85546875" style="86" customWidth="1"/>
    <col min="33" max="33" width="9.28515625" style="87" customWidth="1"/>
    <col min="34" max="34" width="6" style="90" customWidth="1"/>
    <col min="35" max="35" width="8" style="87" customWidth="1"/>
    <col min="36" max="36" width="6.140625" style="258" customWidth="1"/>
    <col min="37" max="37" width="8" style="87" customWidth="1"/>
    <col min="38" max="38" width="7.85546875" style="87" customWidth="1"/>
    <col min="39" max="39" width="9.140625" style="87" customWidth="1"/>
    <col min="40" max="40" width="8.42578125" style="87" customWidth="1"/>
    <col min="41" max="41" width="9" style="87" customWidth="1"/>
    <col min="42" max="42" width="8.140625" style="87" customWidth="1"/>
    <col min="43" max="43" width="10.140625" style="86" customWidth="1"/>
    <col min="44" max="44" width="9" style="86" customWidth="1"/>
    <col min="45" max="16384" width="9.140625" style="82"/>
  </cols>
  <sheetData>
    <row r="2" spans="1:44" s="7" customFormat="1">
      <c r="A2" s="6"/>
      <c r="B2" s="2"/>
      <c r="C2" s="1"/>
      <c r="D2" s="1"/>
      <c r="E2" s="3"/>
      <c r="F2" s="134"/>
      <c r="G2" s="193"/>
      <c r="H2" s="4"/>
      <c r="I2" s="5"/>
      <c r="J2" s="6"/>
      <c r="P2" s="419" t="s">
        <v>0</v>
      </c>
      <c r="Q2" s="419"/>
      <c r="R2" s="419"/>
      <c r="U2" s="8"/>
      <c r="Z2" s="6"/>
      <c r="AA2" s="233"/>
      <c r="AB2" s="233"/>
      <c r="AC2" s="593"/>
      <c r="AD2" s="593"/>
      <c r="AE2" s="593"/>
      <c r="AH2" s="8"/>
      <c r="AI2" s="8"/>
      <c r="AJ2" s="254"/>
      <c r="AK2" s="6"/>
      <c r="AL2" s="6"/>
      <c r="AM2" s="6"/>
      <c r="AN2" s="6"/>
      <c r="AO2" s="8"/>
      <c r="AP2" s="9"/>
      <c r="AQ2" s="8"/>
      <c r="AR2" s="9"/>
    </row>
    <row r="3" spans="1:44" s="7" customFormat="1">
      <c r="A3" s="6"/>
      <c r="B3" s="2"/>
      <c r="C3" s="1"/>
      <c r="D3" s="1"/>
      <c r="E3" s="3"/>
      <c r="F3" s="134"/>
      <c r="G3" s="193"/>
      <c r="H3" s="4"/>
      <c r="I3" s="5"/>
      <c r="J3" s="6"/>
      <c r="P3" s="418" t="s">
        <v>790</v>
      </c>
      <c r="Q3" s="418"/>
      <c r="R3" s="418"/>
      <c r="S3" s="418"/>
      <c r="T3" s="418"/>
      <c r="U3" s="418"/>
      <c r="Z3" s="6"/>
      <c r="AA3" s="1"/>
      <c r="AB3" s="1"/>
      <c r="AC3" s="584"/>
      <c r="AD3" s="584"/>
      <c r="AE3" s="584"/>
      <c r="AF3" s="584"/>
      <c r="AG3" s="584"/>
      <c r="AH3" s="584"/>
      <c r="AI3" s="584"/>
      <c r="AJ3" s="254"/>
      <c r="AK3" s="6"/>
      <c r="AL3" s="6"/>
      <c r="AM3" s="6"/>
      <c r="AN3" s="6"/>
      <c r="AO3" s="8"/>
      <c r="AP3" s="9"/>
      <c r="AQ3" s="8"/>
      <c r="AR3" s="9"/>
    </row>
    <row r="4" spans="1:44" s="7" customFormat="1">
      <c r="A4" s="6"/>
      <c r="B4" s="2"/>
      <c r="C4" s="1"/>
      <c r="D4" s="1"/>
      <c r="E4" s="3"/>
      <c r="F4" s="134"/>
      <c r="G4" s="193"/>
      <c r="H4" s="4"/>
      <c r="I4" s="5"/>
      <c r="J4" s="6"/>
      <c r="P4" s="419" t="s">
        <v>791</v>
      </c>
      <c r="Q4" s="11"/>
      <c r="R4" s="11"/>
      <c r="S4" s="11"/>
      <c r="U4" s="6"/>
      <c r="Z4" s="9"/>
      <c r="AA4" s="232"/>
      <c r="AB4" s="11"/>
      <c r="AC4" s="232"/>
      <c r="AD4" s="11"/>
      <c r="AE4" s="11"/>
      <c r="AF4" s="11"/>
      <c r="AH4" s="6"/>
      <c r="AJ4" s="254"/>
      <c r="AK4" s="6"/>
      <c r="AL4" s="6"/>
      <c r="AM4" s="6"/>
      <c r="AN4" s="6"/>
      <c r="AO4" s="12"/>
      <c r="AP4" s="9"/>
      <c r="AQ4" s="12"/>
      <c r="AR4" s="9"/>
    </row>
    <row r="5" spans="1:44" s="7" customFormat="1" ht="17.25" customHeight="1">
      <c r="A5" s="6"/>
      <c r="B5" s="2"/>
      <c r="C5" s="1"/>
      <c r="D5" s="1"/>
      <c r="E5" s="3"/>
      <c r="F5" s="134"/>
      <c r="G5" s="193"/>
      <c r="H5" s="4"/>
      <c r="I5" s="5"/>
      <c r="J5" s="6"/>
      <c r="P5" s="420" t="s">
        <v>797</v>
      </c>
      <c r="Q5" s="416"/>
      <c r="R5" s="416"/>
      <c r="S5" s="416"/>
      <c r="T5" s="416"/>
      <c r="U5" s="14"/>
      <c r="Z5" s="13" t="s">
        <v>1</v>
      </c>
      <c r="AA5" s="233"/>
      <c r="AB5" s="233"/>
      <c r="AC5" s="577"/>
      <c r="AD5" s="578"/>
      <c r="AE5" s="578"/>
      <c r="AF5" s="578"/>
      <c r="AG5" s="578"/>
      <c r="AH5" s="14"/>
      <c r="AJ5" s="254"/>
      <c r="AK5" s="6"/>
      <c r="AL5" s="6"/>
      <c r="AM5" s="6"/>
      <c r="AN5" s="6"/>
      <c r="AO5" s="12"/>
      <c r="AP5" s="9"/>
      <c r="AQ5" s="12"/>
      <c r="AR5" s="9"/>
    </row>
    <row r="6" spans="1:44" s="7" customFormat="1">
      <c r="A6" s="6"/>
      <c r="B6" s="2"/>
      <c r="C6" s="1"/>
      <c r="D6" s="1"/>
      <c r="E6" s="3"/>
      <c r="F6" s="134"/>
      <c r="G6" s="193"/>
      <c r="H6" s="4"/>
      <c r="I6" s="5"/>
      <c r="J6" s="6"/>
      <c r="P6" s="420"/>
      <c r="Q6" s="2"/>
      <c r="R6" s="2"/>
      <c r="S6" s="2"/>
      <c r="T6" s="15"/>
      <c r="U6" s="15"/>
      <c r="Z6" s="9"/>
      <c r="AA6" s="231"/>
      <c r="AB6" s="2"/>
      <c r="AC6" s="231"/>
      <c r="AD6" s="2"/>
      <c r="AE6" s="2"/>
      <c r="AF6" s="2"/>
      <c r="AG6" s="15"/>
      <c r="AH6" s="15"/>
      <c r="AJ6" s="254"/>
      <c r="AK6" s="6"/>
      <c r="AL6" s="6"/>
      <c r="AM6" s="6"/>
      <c r="AN6" s="6"/>
      <c r="AO6" s="12"/>
      <c r="AP6" s="9"/>
      <c r="AQ6" s="12"/>
      <c r="AR6" s="9"/>
    </row>
    <row r="7" spans="1:44" s="7" customFormat="1" ht="19.5" customHeight="1">
      <c r="A7" s="6"/>
      <c r="B7" s="16"/>
      <c r="C7" s="17"/>
      <c r="D7" s="17"/>
      <c r="E7" s="18" t="s">
        <v>2</v>
      </c>
      <c r="F7" s="139" t="s">
        <v>3</v>
      </c>
      <c r="G7" s="194" t="s">
        <v>4</v>
      </c>
      <c r="H7" s="19" t="s">
        <v>5</v>
      </c>
      <c r="I7" s="18"/>
      <c r="J7" s="9"/>
      <c r="K7" s="9"/>
      <c r="L7" s="9"/>
      <c r="M7" s="9"/>
      <c r="N7" s="9"/>
      <c r="O7" s="20"/>
      <c r="P7" s="8"/>
      <c r="Q7" s="8"/>
      <c r="R7" s="8"/>
      <c r="S7" s="12"/>
      <c r="T7" s="6"/>
      <c r="U7" s="6"/>
      <c r="V7" s="9"/>
      <c r="W7" s="9"/>
      <c r="X7" s="9"/>
      <c r="Y7" s="9"/>
      <c r="Z7" s="21"/>
      <c r="AA7" s="10"/>
      <c r="AB7" s="10"/>
      <c r="AC7" s="12"/>
      <c r="AD7" s="12"/>
      <c r="AE7" s="12"/>
      <c r="AF7" s="12"/>
      <c r="AG7" s="12"/>
      <c r="AH7" s="12"/>
      <c r="AI7" s="9"/>
      <c r="AJ7" s="255"/>
      <c r="AK7" s="9"/>
    </row>
    <row r="8" spans="1:44" s="7" customFormat="1" ht="14.25" customHeight="1">
      <c r="A8" s="6"/>
      <c r="B8" s="22" t="s">
        <v>6</v>
      </c>
      <c r="C8" s="23"/>
      <c r="D8" s="23"/>
      <c r="E8" s="24">
        <v>453</v>
      </c>
      <c r="F8" s="139">
        <v>596</v>
      </c>
      <c r="G8" s="194">
        <v>172</v>
      </c>
      <c r="H8" s="25">
        <v>1221</v>
      </c>
      <c r="I8" s="18"/>
      <c r="J8" s="9"/>
      <c r="K8" s="9"/>
      <c r="L8" s="9"/>
      <c r="M8" s="9"/>
      <c r="N8" s="9"/>
      <c r="O8" s="12"/>
      <c r="P8" s="9"/>
      <c r="Q8" s="12"/>
      <c r="R8" s="9"/>
      <c r="S8" s="9"/>
      <c r="T8" s="6"/>
      <c r="U8" s="6"/>
      <c r="V8" s="6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255"/>
      <c r="AK8" s="12"/>
      <c r="AL8" s="12"/>
      <c r="AM8" s="12"/>
      <c r="AN8" s="12"/>
      <c r="AO8" s="12"/>
      <c r="AP8" s="21"/>
      <c r="AQ8" s="10"/>
      <c r="AR8" s="10"/>
    </row>
    <row r="9" spans="1:44" s="7" customFormat="1" ht="14.25" customHeight="1">
      <c r="A9" s="6"/>
      <c r="B9" s="26" t="s">
        <v>792</v>
      </c>
      <c r="C9" s="23"/>
      <c r="D9" s="27"/>
      <c r="E9" s="24">
        <v>453</v>
      </c>
      <c r="F9" s="139">
        <v>596</v>
      </c>
      <c r="G9" s="194">
        <v>172</v>
      </c>
      <c r="H9" s="25">
        <v>1221</v>
      </c>
      <c r="I9" s="18"/>
      <c r="J9" s="9"/>
      <c r="K9" s="9"/>
      <c r="L9" s="9"/>
      <c r="M9" s="9"/>
      <c r="N9" s="9"/>
      <c r="O9" s="12"/>
      <c r="P9" s="9"/>
      <c r="Q9" s="12"/>
      <c r="R9" s="9"/>
      <c r="S9" s="9"/>
      <c r="T9" s="28"/>
      <c r="U9" s="28"/>
      <c r="V9" s="28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255"/>
      <c r="AK9" s="12"/>
      <c r="AL9" s="12"/>
      <c r="AM9" s="12"/>
      <c r="AN9" s="12"/>
      <c r="AO9" s="12"/>
      <c r="AP9" s="29"/>
      <c r="AQ9" s="29"/>
      <c r="AR9" s="29"/>
    </row>
    <row r="10" spans="1:44" s="7" customFormat="1" ht="14.25" customHeight="1">
      <c r="A10" s="6"/>
      <c r="B10" s="26" t="s">
        <v>793</v>
      </c>
      <c r="C10" s="23"/>
      <c r="D10" s="27"/>
      <c r="E10" s="24">
        <v>22</v>
      </c>
      <c r="F10" s="139">
        <v>26</v>
      </c>
      <c r="G10" s="194">
        <v>8</v>
      </c>
      <c r="H10" s="25">
        <v>56</v>
      </c>
      <c r="I10" s="18"/>
      <c r="J10" s="9"/>
      <c r="K10" s="9"/>
      <c r="L10" s="9"/>
      <c r="M10" s="9"/>
      <c r="N10" s="9"/>
      <c r="O10" s="12"/>
      <c r="P10" s="9"/>
      <c r="Q10" s="12"/>
      <c r="R10" s="9"/>
      <c r="S10" s="9"/>
      <c r="T10" s="28"/>
      <c r="U10" s="28"/>
      <c r="V10" s="28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255"/>
      <c r="AK10" s="12"/>
      <c r="AL10" s="12"/>
      <c r="AM10" s="12"/>
      <c r="AN10" s="12"/>
      <c r="AO10" s="12"/>
      <c r="AP10" s="30"/>
      <c r="AQ10" s="31"/>
      <c r="AR10" s="32"/>
    </row>
    <row r="11" spans="1:44" s="7" customFormat="1" ht="14.25" customHeight="1">
      <c r="A11" s="6"/>
      <c r="B11" s="26" t="s">
        <v>794</v>
      </c>
      <c r="C11" s="23"/>
      <c r="D11" s="27"/>
      <c r="E11" s="24">
        <v>22</v>
      </c>
      <c r="F11" s="139">
        <v>26</v>
      </c>
      <c r="G11" s="194">
        <v>8</v>
      </c>
      <c r="H11" s="25">
        <v>56</v>
      </c>
      <c r="I11" s="18"/>
      <c r="J11" s="9"/>
      <c r="K11" s="9"/>
      <c r="L11" s="9"/>
      <c r="M11" s="9"/>
      <c r="N11" s="9"/>
      <c r="O11" s="12"/>
      <c r="P11" s="9"/>
      <c r="Q11" s="12"/>
      <c r="R11" s="9"/>
      <c r="S11" s="9"/>
      <c r="T11" s="33"/>
      <c r="U11" s="28"/>
      <c r="V11" s="28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255"/>
      <c r="AK11" s="12"/>
      <c r="AL11" s="12"/>
      <c r="AM11" s="12"/>
      <c r="AN11" s="12"/>
      <c r="AO11" s="12"/>
      <c r="AP11" s="34"/>
      <c r="AQ11" s="35"/>
      <c r="AR11" s="32"/>
    </row>
    <row r="12" spans="1:44" s="7" customFormat="1" ht="14.25" customHeight="1">
      <c r="A12" s="6"/>
      <c r="B12" s="26" t="s">
        <v>7</v>
      </c>
      <c r="C12" s="23"/>
      <c r="D12" s="27"/>
      <c r="E12" s="24">
        <v>635.5</v>
      </c>
      <c r="F12" s="140">
        <v>1100.5</v>
      </c>
      <c r="G12" s="195">
        <v>349</v>
      </c>
      <c r="H12" s="25">
        <v>2085</v>
      </c>
      <c r="I12" s="36"/>
      <c r="J12" s="33"/>
      <c r="K12" s="9"/>
      <c r="L12" s="9"/>
      <c r="M12" s="33"/>
      <c r="N12" s="33"/>
      <c r="O12" s="33"/>
      <c r="P12" s="33"/>
      <c r="Q12" s="33"/>
      <c r="R12" s="33"/>
      <c r="S12" s="33"/>
      <c r="T12" s="33"/>
      <c r="U12" s="28"/>
      <c r="V12" s="28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55"/>
      <c r="AK12" s="12"/>
      <c r="AL12" s="12"/>
      <c r="AM12" s="12"/>
      <c r="AN12" s="12"/>
      <c r="AO12" s="12"/>
      <c r="AP12" s="37"/>
      <c r="AQ12" s="35"/>
      <c r="AR12" s="32"/>
    </row>
    <row r="13" spans="1:44" s="7" customFormat="1" ht="14.25" customHeight="1">
      <c r="A13" s="6"/>
      <c r="B13" s="26" t="s">
        <v>8</v>
      </c>
      <c r="C13" s="23"/>
      <c r="D13" s="27"/>
      <c r="E13" s="24">
        <v>635.5</v>
      </c>
      <c r="F13" s="140">
        <v>1100.5</v>
      </c>
      <c r="G13" s="195">
        <v>349</v>
      </c>
      <c r="H13" s="25">
        <v>2085</v>
      </c>
      <c r="I13" s="36"/>
      <c r="J13" s="33"/>
      <c r="K13" s="9"/>
      <c r="L13" s="9"/>
      <c r="M13" s="33"/>
      <c r="N13" s="33"/>
      <c r="O13" s="33"/>
      <c r="P13" s="33"/>
      <c r="Q13" s="33"/>
      <c r="R13" s="33"/>
      <c r="S13" s="33"/>
      <c r="T13" s="33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55"/>
      <c r="AK13" s="12"/>
      <c r="AL13" s="12"/>
      <c r="AM13" s="12"/>
      <c r="AN13" s="12"/>
      <c r="AO13" s="12"/>
      <c r="AP13" s="37"/>
      <c r="AQ13" s="35"/>
      <c r="AR13" s="32"/>
    </row>
    <row r="14" spans="1:44" s="7" customFormat="1" ht="19.5" customHeight="1">
      <c r="A14" s="6"/>
      <c r="B14" s="26" t="s">
        <v>9</v>
      </c>
      <c r="C14" s="23"/>
      <c r="D14" s="38"/>
      <c r="E14" s="24">
        <v>635.5</v>
      </c>
      <c r="F14" s="140">
        <v>1100.5</v>
      </c>
      <c r="G14" s="195">
        <v>349</v>
      </c>
      <c r="H14" s="25">
        <v>2085</v>
      </c>
      <c r="I14" s="36"/>
      <c r="J14" s="33"/>
      <c r="K14" s="9"/>
      <c r="L14" s="9"/>
      <c r="M14" s="33"/>
      <c r="N14" s="33"/>
      <c r="O14" s="33"/>
      <c r="P14" s="33"/>
      <c r="Q14" s="33"/>
      <c r="R14" s="33"/>
      <c r="S14" s="33"/>
      <c r="T14" s="33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39"/>
      <c r="AI14" s="40"/>
      <c r="AJ14" s="256"/>
      <c r="AK14" s="40"/>
      <c r="AL14" s="12"/>
      <c r="AM14" s="12"/>
      <c r="AN14" s="12"/>
      <c r="AO14" s="12"/>
      <c r="AP14" s="41"/>
      <c r="AQ14" s="35"/>
      <c r="AR14" s="32"/>
    </row>
    <row r="15" spans="1:44" s="7" customFormat="1" ht="17.25" customHeight="1">
      <c r="A15" s="6"/>
      <c r="F15" s="141"/>
      <c r="G15" s="196"/>
      <c r="H15" s="3"/>
      <c r="I15" s="6"/>
      <c r="J15" s="6"/>
      <c r="K15" s="9"/>
      <c r="L15" s="9"/>
      <c r="M15" s="6"/>
      <c r="N15" s="6"/>
      <c r="O15" s="6"/>
      <c r="P15" s="6"/>
      <c r="Q15" s="6"/>
      <c r="R15" s="6"/>
      <c r="S15" s="6"/>
      <c r="T15" s="6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8"/>
      <c r="AI15" s="8"/>
      <c r="AJ15" s="257"/>
      <c r="AK15" s="8"/>
      <c r="AL15" s="8"/>
      <c r="AM15" s="8"/>
      <c r="AN15" s="8"/>
      <c r="AO15" s="8"/>
      <c r="AP15" s="8"/>
      <c r="AQ15" s="35"/>
      <c r="AR15" s="32"/>
    </row>
    <row r="16" spans="1:44" s="9" customFormat="1" ht="35.25" customHeight="1">
      <c r="A16" s="583" t="s">
        <v>603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4"/>
      <c r="T16" s="584"/>
      <c r="U16" s="584"/>
      <c r="V16" s="584"/>
      <c r="W16" s="584"/>
      <c r="X16" s="584"/>
      <c r="Y16" s="584"/>
      <c r="Z16" s="584"/>
      <c r="AA16" s="584"/>
      <c r="AB16" s="584"/>
      <c r="AC16" s="584"/>
      <c r="AD16" s="584"/>
      <c r="AE16" s="584"/>
      <c r="AF16" s="584"/>
      <c r="AG16" s="584"/>
      <c r="AH16" s="584"/>
      <c r="AI16" s="584"/>
      <c r="AJ16" s="584"/>
      <c r="AK16" s="584"/>
      <c r="AL16" s="584"/>
      <c r="AM16" s="584"/>
      <c r="AN16" s="584"/>
      <c r="AO16" s="584"/>
      <c r="AP16" s="584"/>
      <c r="AQ16" s="584"/>
      <c r="AR16" s="584"/>
    </row>
    <row r="17" spans="1:44" s="7" customFormat="1" ht="14.25" customHeight="1">
      <c r="A17" s="42"/>
      <c r="B17" s="43"/>
      <c r="C17" s="43"/>
      <c r="D17" s="42"/>
      <c r="E17" s="42"/>
      <c r="F17" s="142"/>
      <c r="G17" s="197"/>
      <c r="H17" s="44"/>
      <c r="I17" s="42"/>
      <c r="J17" s="45"/>
      <c r="K17" s="46"/>
      <c r="L17" s="46"/>
      <c r="M17" s="46"/>
      <c r="N17" s="45"/>
      <c r="O17" s="46"/>
      <c r="P17" s="47"/>
      <c r="Q17" s="46"/>
      <c r="R17" s="47"/>
      <c r="S17" s="46"/>
      <c r="T17" s="45"/>
      <c r="U17" s="46"/>
      <c r="V17" s="46"/>
      <c r="W17" s="46"/>
      <c r="X17" s="45"/>
      <c r="Y17" s="48"/>
      <c r="Z17" s="45"/>
      <c r="AA17" s="46"/>
      <c r="AB17" s="45"/>
      <c r="AC17" s="48"/>
      <c r="AD17" s="45"/>
      <c r="AE17" s="45"/>
      <c r="AF17" s="45"/>
      <c r="AG17" s="46"/>
      <c r="AH17" s="46"/>
      <c r="AI17" s="46"/>
      <c r="AJ17" s="585"/>
      <c r="AK17" s="585"/>
      <c r="AL17" s="585"/>
      <c r="AM17" s="585"/>
      <c r="AN17" s="585"/>
      <c r="AO17" s="585"/>
      <c r="AP17" s="585"/>
      <c r="AQ17" s="585"/>
      <c r="AR17" s="32"/>
    </row>
    <row r="18" spans="1:44" s="49" customFormat="1" ht="18.75" customHeight="1">
      <c r="A18" s="582" t="s">
        <v>10</v>
      </c>
      <c r="B18" s="582" t="s">
        <v>11</v>
      </c>
      <c r="C18" s="582" t="s">
        <v>12</v>
      </c>
      <c r="D18" s="580" t="s">
        <v>13</v>
      </c>
      <c r="E18" s="580" t="s">
        <v>14</v>
      </c>
      <c r="F18" s="589" t="s">
        <v>182</v>
      </c>
      <c r="G18" s="580" t="s">
        <v>15</v>
      </c>
      <c r="H18" s="547" t="s">
        <v>16</v>
      </c>
      <c r="I18" s="580" t="s">
        <v>17</v>
      </c>
      <c r="J18" s="547" t="s">
        <v>18</v>
      </c>
      <c r="K18" s="580" t="s">
        <v>19</v>
      </c>
      <c r="L18" s="417"/>
      <c r="M18" s="594" t="s">
        <v>20</v>
      </c>
      <c r="N18" s="594"/>
      <c r="O18" s="594"/>
      <c r="P18" s="594"/>
      <c r="Q18" s="594"/>
      <c r="R18" s="594"/>
      <c r="S18" s="588" t="s">
        <v>21</v>
      </c>
      <c r="T18" s="586" t="s">
        <v>22</v>
      </c>
      <c r="U18" s="581">
        <v>0.1</v>
      </c>
      <c r="V18" s="581">
        <v>0.2</v>
      </c>
      <c r="W18" s="582" t="s">
        <v>23</v>
      </c>
      <c r="X18" s="582"/>
      <c r="Y18" s="582"/>
      <c r="Z18" s="582"/>
      <c r="AA18" s="580" t="s">
        <v>24</v>
      </c>
      <c r="AB18" s="580"/>
      <c r="AC18" s="580"/>
      <c r="AD18" s="580"/>
      <c r="AE18" s="586" t="s">
        <v>25</v>
      </c>
      <c r="AF18" s="586" t="s">
        <v>26</v>
      </c>
      <c r="AG18" s="587" t="s">
        <v>27</v>
      </c>
      <c r="AH18" s="580" t="s">
        <v>28</v>
      </c>
      <c r="AI18" s="580"/>
      <c r="AJ18" s="580" t="s">
        <v>29</v>
      </c>
      <c r="AK18" s="580"/>
      <c r="AL18" s="579" t="s">
        <v>30</v>
      </c>
      <c r="AM18" s="579" t="s">
        <v>31</v>
      </c>
      <c r="AN18" s="579"/>
      <c r="AO18" s="579"/>
      <c r="AP18" s="579"/>
      <c r="AQ18" s="547" t="s">
        <v>32</v>
      </c>
      <c r="AR18" s="547" t="s">
        <v>33</v>
      </c>
    </row>
    <row r="19" spans="1:44" s="49" customFormat="1" ht="42" customHeight="1">
      <c r="A19" s="582"/>
      <c r="B19" s="582"/>
      <c r="C19" s="582"/>
      <c r="D19" s="580"/>
      <c r="E19" s="580"/>
      <c r="F19" s="589"/>
      <c r="G19" s="580"/>
      <c r="H19" s="547"/>
      <c r="I19" s="580"/>
      <c r="J19" s="547"/>
      <c r="K19" s="580"/>
      <c r="L19" s="417"/>
      <c r="M19" s="594"/>
      <c r="N19" s="594"/>
      <c r="O19" s="594"/>
      <c r="P19" s="594"/>
      <c r="Q19" s="594"/>
      <c r="R19" s="594"/>
      <c r="S19" s="588"/>
      <c r="T19" s="586"/>
      <c r="U19" s="581"/>
      <c r="V19" s="581"/>
      <c r="W19" s="590" t="s">
        <v>34</v>
      </c>
      <c r="X19" s="591"/>
      <c r="Y19" s="590" t="s">
        <v>35</v>
      </c>
      <c r="Z19" s="591"/>
      <c r="AA19" s="580"/>
      <c r="AB19" s="580"/>
      <c r="AC19" s="580"/>
      <c r="AD19" s="580"/>
      <c r="AE19" s="586"/>
      <c r="AF19" s="586"/>
      <c r="AG19" s="587"/>
      <c r="AH19" s="580"/>
      <c r="AI19" s="580"/>
      <c r="AJ19" s="580"/>
      <c r="AK19" s="580"/>
      <c r="AL19" s="579"/>
      <c r="AM19" s="586" t="s">
        <v>504</v>
      </c>
      <c r="AN19" s="586" t="s">
        <v>37</v>
      </c>
      <c r="AO19" s="586" t="s">
        <v>38</v>
      </c>
      <c r="AP19" s="586" t="s">
        <v>39</v>
      </c>
      <c r="AQ19" s="547"/>
      <c r="AR19" s="547"/>
    </row>
    <row r="20" spans="1:44" s="49" customFormat="1" ht="93" customHeight="1">
      <c r="A20" s="582"/>
      <c r="B20" s="582"/>
      <c r="C20" s="582"/>
      <c r="D20" s="580"/>
      <c r="E20" s="580"/>
      <c r="F20" s="589"/>
      <c r="G20" s="580"/>
      <c r="H20" s="547"/>
      <c r="I20" s="580"/>
      <c r="J20" s="547"/>
      <c r="K20" s="580"/>
      <c r="L20" s="417"/>
      <c r="M20" s="137" t="s">
        <v>40</v>
      </c>
      <c r="N20" s="135" t="s">
        <v>41</v>
      </c>
      <c r="O20" s="137" t="s">
        <v>42</v>
      </c>
      <c r="P20" s="135" t="s">
        <v>41</v>
      </c>
      <c r="Q20" s="137" t="s">
        <v>43</v>
      </c>
      <c r="R20" s="135" t="s">
        <v>41</v>
      </c>
      <c r="S20" s="588"/>
      <c r="T20" s="586"/>
      <c r="U20" s="582"/>
      <c r="V20" s="582"/>
      <c r="W20" s="138">
        <v>0.5</v>
      </c>
      <c r="X20" s="50" t="s">
        <v>41</v>
      </c>
      <c r="Y20" s="138">
        <v>0.6</v>
      </c>
      <c r="Z20" s="50" t="s">
        <v>41</v>
      </c>
      <c r="AA20" s="136" t="s">
        <v>44</v>
      </c>
      <c r="AB20" s="50" t="s">
        <v>41</v>
      </c>
      <c r="AC20" s="241" t="s">
        <v>505</v>
      </c>
      <c r="AD20" s="50" t="s">
        <v>41</v>
      </c>
      <c r="AE20" s="586"/>
      <c r="AF20" s="586"/>
      <c r="AG20" s="588"/>
      <c r="AH20" s="137" t="s">
        <v>45</v>
      </c>
      <c r="AI20" s="50" t="s">
        <v>41</v>
      </c>
      <c r="AJ20" s="246" t="s">
        <v>46</v>
      </c>
      <c r="AK20" s="50" t="s">
        <v>41</v>
      </c>
      <c r="AL20" s="579"/>
      <c r="AM20" s="586"/>
      <c r="AN20" s="586"/>
      <c r="AO20" s="586"/>
      <c r="AP20" s="586"/>
      <c r="AQ20" s="547"/>
      <c r="AR20" s="547"/>
    </row>
    <row r="21" spans="1:44" s="7" customFormat="1" ht="12.75">
      <c r="A21" s="51">
        <v>1</v>
      </c>
      <c r="B21" s="52">
        <v>2</v>
      </c>
      <c r="C21" s="52">
        <v>3</v>
      </c>
      <c r="D21" s="51">
        <v>4</v>
      </c>
      <c r="E21" s="52">
        <v>5</v>
      </c>
      <c r="F21" s="143">
        <v>6</v>
      </c>
      <c r="G21" s="51">
        <v>7</v>
      </c>
      <c r="H21" s="52">
        <v>8</v>
      </c>
      <c r="I21" s="52">
        <v>9</v>
      </c>
      <c r="J21" s="51">
        <v>10</v>
      </c>
      <c r="K21" s="52">
        <v>11</v>
      </c>
      <c r="L21" s="52"/>
      <c r="M21" s="52">
        <v>12</v>
      </c>
      <c r="N21" s="51">
        <v>13</v>
      </c>
      <c r="O21" s="52">
        <v>14</v>
      </c>
      <c r="P21" s="52">
        <v>15</v>
      </c>
      <c r="Q21" s="51">
        <v>16</v>
      </c>
      <c r="R21" s="52">
        <v>17</v>
      </c>
      <c r="S21" s="52">
        <v>18</v>
      </c>
      <c r="T21" s="51">
        <v>19</v>
      </c>
      <c r="U21" s="52">
        <v>20</v>
      </c>
      <c r="V21" s="52">
        <v>20</v>
      </c>
      <c r="W21" s="52">
        <v>21</v>
      </c>
      <c r="X21" s="51">
        <v>22</v>
      </c>
      <c r="Y21" s="52">
        <v>23</v>
      </c>
      <c r="Z21" s="52">
        <v>24</v>
      </c>
      <c r="AA21" s="51">
        <v>25</v>
      </c>
      <c r="AB21" s="52">
        <v>26</v>
      </c>
      <c r="AC21" s="52">
        <v>27</v>
      </c>
      <c r="AD21" s="51">
        <v>28</v>
      </c>
      <c r="AE21" s="52">
        <v>29</v>
      </c>
      <c r="AF21" s="52">
        <v>30</v>
      </c>
      <c r="AG21" s="51">
        <v>31</v>
      </c>
      <c r="AH21" s="52">
        <v>32</v>
      </c>
      <c r="AI21" s="52">
        <v>33</v>
      </c>
      <c r="AJ21" s="52">
        <v>32</v>
      </c>
      <c r="AK21" s="52">
        <v>33</v>
      </c>
      <c r="AL21" s="51">
        <v>34</v>
      </c>
      <c r="AM21" s="52">
        <v>35</v>
      </c>
      <c r="AN21" s="52">
        <v>36</v>
      </c>
      <c r="AO21" s="51">
        <v>37</v>
      </c>
      <c r="AP21" s="52">
        <v>38</v>
      </c>
      <c r="AQ21" s="52">
        <v>39</v>
      </c>
      <c r="AR21" s="51">
        <v>40</v>
      </c>
    </row>
    <row r="22" spans="1:44" s="61" customFormat="1" ht="12.75">
      <c r="A22" s="53"/>
      <c r="B22" s="53"/>
      <c r="C22" s="53" t="s">
        <v>47</v>
      </c>
      <c r="D22" s="54"/>
      <c r="E22" s="55"/>
      <c r="F22" s="144"/>
      <c r="G22" s="56"/>
      <c r="H22" s="57"/>
      <c r="I22" s="58"/>
      <c r="J22" s="59">
        <f>J68+J100+J130+J159</f>
        <v>23290313.82</v>
      </c>
      <c r="K22" s="192">
        <v>128.56</v>
      </c>
      <c r="L22" s="192">
        <v>128.56</v>
      </c>
      <c r="M22" s="60">
        <f t="shared" ref="M22:AR22" si="0">M68+M100+M130+M159</f>
        <v>635.5</v>
      </c>
      <c r="N22" s="59">
        <f t="shared" si="0"/>
        <v>6988700.1487499978</v>
      </c>
      <c r="O22" s="260">
        <f t="shared" si="0"/>
        <v>1100.5</v>
      </c>
      <c r="P22" s="59">
        <f t="shared" si="0"/>
        <v>12089417.973750001</v>
      </c>
      <c r="Q22" s="60">
        <f t="shared" si="0"/>
        <v>349</v>
      </c>
      <c r="R22" s="59">
        <f t="shared" si="0"/>
        <v>3918248.5274999999</v>
      </c>
      <c r="S22" s="59">
        <f t="shared" si="0"/>
        <v>5749091.6624999996</v>
      </c>
      <c r="T22" s="59">
        <f t="shared" si="0"/>
        <v>28745458.312500007</v>
      </c>
      <c r="U22" s="59">
        <f t="shared" si="0"/>
        <v>2874545.8312500012</v>
      </c>
      <c r="V22" s="59">
        <f t="shared" si="0"/>
        <v>5749091.6625000024</v>
      </c>
      <c r="W22" s="59">
        <f t="shared" si="0"/>
        <v>22</v>
      </c>
      <c r="X22" s="59">
        <f t="shared" si="0"/>
        <v>194667</v>
      </c>
      <c r="Y22" s="59">
        <f t="shared" si="0"/>
        <v>34</v>
      </c>
      <c r="Z22" s="59">
        <f t="shared" si="0"/>
        <v>361018.79999999993</v>
      </c>
      <c r="AA22" s="59">
        <f t="shared" si="0"/>
        <v>976</v>
      </c>
      <c r="AB22" s="59">
        <f t="shared" si="0"/>
        <v>431806.8000000001</v>
      </c>
      <c r="AC22" s="59">
        <f t="shared" si="0"/>
        <v>428</v>
      </c>
      <c r="AD22" s="59">
        <f t="shared" si="0"/>
        <v>223092.80624999999</v>
      </c>
      <c r="AE22" s="59">
        <f t="shared" si="0"/>
        <v>241500</v>
      </c>
      <c r="AF22" s="59">
        <f t="shared" si="0"/>
        <v>17697</v>
      </c>
      <c r="AG22" s="59">
        <f t="shared" si="0"/>
        <v>8623637.4937500022</v>
      </c>
      <c r="AH22" s="59">
        <f t="shared" si="0"/>
        <v>161</v>
      </c>
      <c r="AI22" s="59">
        <f t="shared" si="0"/>
        <v>35615.212500000009</v>
      </c>
      <c r="AJ22" s="260">
        <f t="shared" si="0"/>
        <v>93</v>
      </c>
      <c r="AK22" s="59">
        <f t="shared" si="0"/>
        <v>41145.525000000001</v>
      </c>
      <c r="AL22" s="59">
        <f t="shared" si="0"/>
        <v>35390</v>
      </c>
      <c r="AM22" s="59">
        <f t="shared" si="0"/>
        <v>1756830.9628124998</v>
      </c>
      <c r="AN22" s="59">
        <f t="shared" si="0"/>
        <v>2391261.4999218755</v>
      </c>
      <c r="AO22" s="59">
        <f t="shared" si="0"/>
        <v>4495756.9406250017</v>
      </c>
      <c r="AP22" s="59">
        <f t="shared" si="0"/>
        <v>59837.981250000004</v>
      </c>
      <c r="AQ22" s="59">
        <f t="shared" si="0"/>
        <v>56280067.82835938</v>
      </c>
      <c r="AR22" s="59">
        <f t="shared" si="0"/>
        <v>675360.81394031248</v>
      </c>
    </row>
    <row r="23" spans="1:44" s="105" customFormat="1" ht="12.75">
      <c r="A23" s="242">
        <v>1</v>
      </c>
      <c r="B23" s="433" t="s">
        <v>194</v>
      </c>
      <c r="C23" s="234" t="s">
        <v>100</v>
      </c>
      <c r="D23" s="235" t="s">
        <v>50</v>
      </c>
      <c r="E23" s="236" t="s">
        <v>51</v>
      </c>
      <c r="F23" s="107">
        <v>34.01</v>
      </c>
      <c r="G23" s="96">
        <v>5.41</v>
      </c>
      <c r="H23" s="66">
        <v>17697</v>
      </c>
      <c r="I23" s="200">
        <v>2</v>
      </c>
      <c r="J23" s="66">
        <f>H23*G23*I23</f>
        <v>191481.54</v>
      </c>
      <c r="K23" s="200">
        <f>(M23+O23+Q23)/16</f>
        <v>1.5</v>
      </c>
      <c r="L23" s="200">
        <f>M23+O23+Q23</f>
        <v>24</v>
      </c>
      <c r="M23" s="51">
        <v>6</v>
      </c>
      <c r="N23" s="66">
        <f>J23/16*M23</f>
        <v>71805.577499999999</v>
      </c>
      <c r="O23" s="202">
        <v>18</v>
      </c>
      <c r="P23" s="66">
        <f>J23/16*O23</f>
        <v>215416.73250000001</v>
      </c>
      <c r="Q23" s="405"/>
      <c r="R23" s="66">
        <f>J23/16*Q23</f>
        <v>0</v>
      </c>
      <c r="S23" s="201">
        <f>(N23+P23+R23)*25%</f>
        <v>71805.577499999999</v>
      </c>
      <c r="T23" s="66">
        <f>N23+P23+R23+S23</f>
        <v>359027.88750000001</v>
      </c>
      <c r="U23" s="66">
        <f>T23*10%</f>
        <v>35902.78875</v>
      </c>
      <c r="V23" s="66">
        <f>T23*20%</f>
        <v>71805.577499999999</v>
      </c>
      <c r="W23" s="237"/>
      <c r="X23" s="66">
        <f t="shared" ref="X23:X86" si="1">(H23*W23)*50%</f>
        <v>0</v>
      </c>
      <c r="Y23" s="237"/>
      <c r="Z23" s="66">
        <f t="shared" ref="Z23:Z86" si="2">H23*Y23*60%</f>
        <v>0</v>
      </c>
      <c r="AA23" s="202">
        <v>8</v>
      </c>
      <c r="AB23" s="66">
        <f t="shared" ref="AB23:AB86" si="3">((H23*40%/16*AA23))</f>
        <v>3539.4</v>
      </c>
      <c r="AC23" s="202"/>
      <c r="AD23" s="66">
        <f>((H23*50%/16*AC23))</f>
        <v>0</v>
      </c>
      <c r="AE23" s="202"/>
      <c r="AF23" s="202"/>
      <c r="AG23" s="66">
        <f>T23*30%</f>
        <v>107708.36625000001</v>
      </c>
      <c r="AH23" s="202"/>
      <c r="AI23" s="66">
        <f t="shared" ref="AI23:AI86" si="4">((H23*20%/16*AH23))</f>
        <v>0</v>
      </c>
      <c r="AJ23" s="67"/>
      <c r="AK23" s="66">
        <f t="shared" ref="AK23:AK86" si="5">((H23*40%/16*AJ23))</f>
        <v>0</v>
      </c>
      <c r="AL23" s="202"/>
      <c r="AM23" s="202"/>
      <c r="AN23" s="202"/>
      <c r="AO23" s="202">
        <f>T23*40%</f>
        <v>143611.155</v>
      </c>
      <c r="AP23" s="202"/>
      <c r="AQ23" s="66">
        <f>SUM(T23:AP23)</f>
        <v>721603.17500000005</v>
      </c>
      <c r="AR23" s="66">
        <f>AQ23*12/1000</f>
        <v>8659.2381000000023</v>
      </c>
    </row>
    <row r="24" spans="1:44" s="204" customFormat="1" ht="15" customHeight="1">
      <c r="A24" s="51">
        <v>2</v>
      </c>
      <c r="B24" s="62" t="s">
        <v>48</v>
      </c>
      <c r="C24" s="63" t="s">
        <v>49</v>
      </c>
      <c r="D24" s="64" t="s">
        <v>50</v>
      </c>
      <c r="E24" s="51" t="s">
        <v>51</v>
      </c>
      <c r="F24" s="107">
        <v>26.11</v>
      </c>
      <c r="G24" s="214">
        <v>5.41</v>
      </c>
      <c r="H24" s="66">
        <v>17697</v>
      </c>
      <c r="I24" s="200">
        <v>2</v>
      </c>
      <c r="J24" s="66">
        <f>H24*G24*I24</f>
        <v>191481.54</v>
      </c>
      <c r="K24" s="200">
        <f>(M24+O24+Q24)/16</f>
        <v>0.5</v>
      </c>
      <c r="L24" s="200">
        <f t="shared" ref="L24:L87" si="6">M24+O24+Q24</f>
        <v>8</v>
      </c>
      <c r="M24" s="51"/>
      <c r="N24" s="66">
        <f t="shared" ref="N24:N66" si="7">J24/16*M24</f>
        <v>0</v>
      </c>
      <c r="O24" s="396">
        <v>8</v>
      </c>
      <c r="P24" s="66">
        <f t="shared" ref="P24:P87" si="8">J24/16*O24</f>
        <v>95740.77</v>
      </c>
      <c r="Q24" s="396"/>
      <c r="R24" s="66">
        <f t="shared" ref="R24:R67" si="9">J24/16*Q24</f>
        <v>0</v>
      </c>
      <c r="S24" s="201">
        <f t="shared" ref="S24:S67" si="10">(N24+P24+R24)*25%</f>
        <v>23935.192500000001</v>
      </c>
      <c r="T24" s="66">
        <f t="shared" ref="T24:T67" si="11">N24+P24+R24+S24</f>
        <v>119675.96250000001</v>
      </c>
      <c r="U24" s="66">
        <f t="shared" ref="U24:U87" si="12">T24*10%</f>
        <v>11967.596250000002</v>
      </c>
      <c r="V24" s="66">
        <f t="shared" ref="V24:V67" si="13">T24*20%</f>
        <v>23935.192500000005</v>
      </c>
      <c r="W24" s="202"/>
      <c r="X24" s="66">
        <f t="shared" si="1"/>
        <v>0</v>
      </c>
      <c r="Y24" s="67"/>
      <c r="Z24" s="66">
        <f t="shared" si="2"/>
        <v>0</v>
      </c>
      <c r="AA24" s="67"/>
      <c r="AB24" s="66">
        <f t="shared" si="3"/>
        <v>0</v>
      </c>
      <c r="AC24" s="67"/>
      <c r="AD24" s="66">
        <f t="shared" ref="AD24:AD87" si="14">((H24*50%/16*AC24))</f>
        <v>0</v>
      </c>
      <c r="AE24" s="68"/>
      <c r="AF24" s="66"/>
      <c r="AG24" s="66">
        <f t="shared" ref="AG24:AG87" si="15">T24*30%</f>
        <v>35902.78875</v>
      </c>
      <c r="AH24" s="66"/>
      <c r="AI24" s="66">
        <f t="shared" si="4"/>
        <v>0</v>
      </c>
      <c r="AJ24" s="203"/>
      <c r="AK24" s="66">
        <f t="shared" si="5"/>
        <v>0</v>
      </c>
      <c r="AL24" s="66"/>
      <c r="AM24" s="66"/>
      <c r="AN24" s="66"/>
      <c r="AO24" s="66"/>
      <c r="AP24" s="202">
        <f>T24*50%</f>
        <v>59837.981250000004</v>
      </c>
      <c r="AQ24" s="66">
        <f t="shared" ref="AQ24:AQ67" si="16">SUM(T24:AP24)</f>
        <v>251319.52125000005</v>
      </c>
      <c r="AR24" s="66">
        <f t="shared" ref="AR24:AR87" si="17">AQ24*12/1000</f>
        <v>3015.8342550000007</v>
      </c>
    </row>
    <row r="25" spans="1:44" s="204" customFormat="1" ht="15" customHeight="1">
      <c r="A25" s="51">
        <v>3</v>
      </c>
      <c r="B25" s="62" t="s">
        <v>52</v>
      </c>
      <c r="C25" s="63" t="s">
        <v>53</v>
      </c>
      <c r="D25" s="64" t="s">
        <v>50</v>
      </c>
      <c r="E25" s="51" t="s">
        <v>51</v>
      </c>
      <c r="F25" s="107">
        <v>30.06</v>
      </c>
      <c r="G25" s="214">
        <v>5.41</v>
      </c>
      <c r="H25" s="66">
        <v>17697</v>
      </c>
      <c r="I25" s="200">
        <v>2</v>
      </c>
      <c r="J25" s="66">
        <f t="shared" ref="J25:J134" si="18">H25*G25*I25</f>
        <v>191481.54</v>
      </c>
      <c r="K25" s="200">
        <f>(M25+O25+Q25)/16</f>
        <v>1.0625</v>
      </c>
      <c r="L25" s="200">
        <f t="shared" si="6"/>
        <v>17</v>
      </c>
      <c r="M25" s="51">
        <v>17</v>
      </c>
      <c r="N25" s="66">
        <f t="shared" si="7"/>
        <v>203449.13625000001</v>
      </c>
      <c r="O25" s="396"/>
      <c r="P25" s="66">
        <f t="shared" si="8"/>
        <v>0</v>
      </c>
      <c r="Q25" s="396"/>
      <c r="R25" s="66">
        <f t="shared" si="9"/>
        <v>0</v>
      </c>
      <c r="S25" s="201">
        <f t="shared" si="10"/>
        <v>50862.284062500003</v>
      </c>
      <c r="T25" s="66">
        <f t="shared" si="11"/>
        <v>254311.42031250001</v>
      </c>
      <c r="U25" s="66">
        <f t="shared" si="12"/>
        <v>25431.142031250001</v>
      </c>
      <c r="V25" s="66">
        <f t="shared" si="13"/>
        <v>50862.284062500003</v>
      </c>
      <c r="W25" s="202">
        <v>1</v>
      </c>
      <c r="X25" s="66">
        <f t="shared" si="1"/>
        <v>8848.5</v>
      </c>
      <c r="Y25" s="67"/>
      <c r="Z25" s="66">
        <f t="shared" si="2"/>
        <v>0</v>
      </c>
      <c r="AA25" s="67">
        <v>16</v>
      </c>
      <c r="AB25" s="66">
        <f t="shared" si="3"/>
        <v>7078.8</v>
      </c>
      <c r="AC25" s="67"/>
      <c r="AD25" s="66">
        <f t="shared" si="14"/>
        <v>0</v>
      </c>
      <c r="AE25" s="68"/>
      <c r="AF25" s="66"/>
      <c r="AG25" s="66">
        <f t="shared" si="15"/>
        <v>76293.426093749993</v>
      </c>
      <c r="AH25" s="66"/>
      <c r="AI25" s="66">
        <f t="shared" si="4"/>
        <v>0</v>
      </c>
      <c r="AJ25" s="203"/>
      <c r="AK25" s="66">
        <f t="shared" si="5"/>
        <v>0</v>
      </c>
      <c r="AL25" s="66"/>
      <c r="AM25" s="66"/>
      <c r="AN25" s="66"/>
      <c r="AO25" s="202">
        <f>T25*40%</f>
        <v>101724.56812500001</v>
      </c>
      <c r="AP25" s="205"/>
      <c r="AQ25" s="66">
        <f t="shared" si="16"/>
        <v>524567.140625</v>
      </c>
      <c r="AR25" s="66">
        <f t="shared" si="17"/>
        <v>6294.8056875000002</v>
      </c>
    </row>
    <row r="26" spans="1:44" s="209" customFormat="1" ht="15" customHeight="1">
      <c r="A26" s="51">
        <v>4</v>
      </c>
      <c r="B26" s="62" t="s">
        <v>54</v>
      </c>
      <c r="C26" s="63" t="s">
        <v>55</v>
      </c>
      <c r="D26" s="64" t="s">
        <v>50</v>
      </c>
      <c r="E26" s="51" t="s">
        <v>51</v>
      </c>
      <c r="F26" s="409" t="s">
        <v>508</v>
      </c>
      <c r="G26" s="214">
        <v>5.41</v>
      </c>
      <c r="H26" s="66">
        <v>17697</v>
      </c>
      <c r="I26" s="200">
        <v>2</v>
      </c>
      <c r="J26" s="66">
        <f t="shared" si="18"/>
        <v>191481.54</v>
      </c>
      <c r="K26" s="200">
        <f>(M26+O26+Q26)/16</f>
        <v>1.4375</v>
      </c>
      <c r="L26" s="200">
        <f t="shared" si="6"/>
        <v>23</v>
      </c>
      <c r="M26" s="206">
        <v>4</v>
      </c>
      <c r="N26" s="66">
        <f t="shared" si="7"/>
        <v>47870.385000000002</v>
      </c>
      <c r="O26" s="206">
        <v>15</v>
      </c>
      <c r="P26" s="66">
        <f t="shared" si="8"/>
        <v>179513.94375000001</v>
      </c>
      <c r="Q26" s="206">
        <v>4</v>
      </c>
      <c r="R26" s="66">
        <f t="shared" si="9"/>
        <v>47870.385000000002</v>
      </c>
      <c r="S26" s="201">
        <f t="shared" si="10"/>
        <v>68813.678437499999</v>
      </c>
      <c r="T26" s="66">
        <f t="shared" si="11"/>
        <v>344068.39218750002</v>
      </c>
      <c r="U26" s="66">
        <f t="shared" si="12"/>
        <v>34406.839218750007</v>
      </c>
      <c r="V26" s="66">
        <f t="shared" si="13"/>
        <v>68813.678437500013</v>
      </c>
      <c r="W26" s="202"/>
      <c r="X26" s="66">
        <f t="shared" si="1"/>
        <v>0</v>
      </c>
      <c r="Y26" s="207"/>
      <c r="Z26" s="66">
        <f t="shared" si="2"/>
        <v>0</v>
      </c>
      <c r="AA26" s="207"/>
      <c r="AB26" s="66">
        <f t="shared" si="3"/>
        <v>0</v>
      </c>
      <c r="AC26" s="206">
        <v>23</v>
      </c>
      <c r="AD26" s="66">
        <f t="shared" si="14"/>
        <v>12719.71875</v>
      </c>
      <c r="AE26" s="50"/>
      <c r="AF26" s="50"/>
      <c r="AG26" s="66">
        <f t="shared" si="15"/>
        <v>103220.51765625</v>
      </c>
      <c r="AH26" s="66"/>
      <c r="AI26" s="66">
        <f t="shared" si="4"/>
        <v>0</v>
      </c>
      <c r="AJ26" s="69"/>
      <c r="AK26" s="66">
        <f t="shared" si="5"/>
        <v>0</v>
      </c>
      <c r="AL26" s="208"/>
      <c r="AM26" s="201"/>
      <c r="AN26" s="201"/>
      <c r="AO26" s="202">
        <f t="shared" ref="AO26:AO67" si="19">T26*40%</f>
        <v>137627.35687500003</v>
      </c>
      <c r="AP26" s="205"/>
      <c r="AQ26" s="66">
        <f t="shared" si="16"/>
        <v>700879.50312500016</v>
      </c>
      <c r="AR26" s="66">
        <f t="shared" si="17"/>
        <v>8410.5540375000019</v>
      </c>
    </row>
    <row r="27" spans="1:44" s="209" customFormat="1" ht="15" customHeight="1">
      <c r="A27" s="242">
        <v>5</v>
      </c>
      <c r="B27" s="62" t="s">
        <v>56</v>
      </c>
      <c r="C27" s="63" t="s">
        <v>57</v>
      </c>
      <c r="D27" s="64" t="s">
        <v>50</v>
      </c>
      <c r="E27" s="51" t="s">
        <v>51</v>
      </c>
      <c r="F27" s="409" t="s">
        <v>509</v>
      </c>
      <c r="G27" s="214">
        <v>5.41</v>
      </c>
      <c r="H27" s="66">
        <v>17697</v>
      </c>
      <c r="I27" s="200">
        <v>2</v>
      </c>
      <c r="J27" s="66">
        <f t="shared" si="18"/>
        <v>191481.54</v>
      </c>
      <c r="K27" s="200">
        <f t="shared" ref="K27:K134" si="20">(M27+O27+Q27)/16</f>
        <v>1</v>
      </c>
      <c r="L27" s="200">
        <f t="shared" si="6"/>
        <v>16</v>
      </c>
      <c r="M27" s="69">
        <v>4</v>
      </c>
      <c r="N27" s="66">
        <f t="shared" si="7"/>
        <v>47870.385000000002</v>
      </c>
      <c r="O27" s="69">
        <v>12</v>
      </c>
      <c r="P27" s="66">
        <f t="shared" si="8"/>
        <v>143611.155</v>
      </c>
      <c r="Q27" s="69"/>
      <c r="R27" s="66">
        <f t="shared" si="9"/>
        <v>0</v>
      </c>
      <c r="S27" s="201">
        <f t="shared" si="10"/>
        <v>47870.385000000002</v>
      </c>
      <c r="T27" s="66">
        <f t="shared" si="11"/>
        <v>239351.92500000002</v>
      </c>
      <c r="U27" s="66">
        <f t="shared" si="12"/>
        <v>23935.192500000005</v>
      </c>
      <c r="V27" s="66">
        <f t="shared" si="13"/>
        <v>47870.385000000009</v>
      </c>
      <c r="W27" s="202"/>
      <c r="X27" s="66">
        <f t="shared" si="1"/>
        <v>0</v>
      </c>
      <c r="Y27" s="207"/>
      <c r="Z27" s="66">
        <f t="shared" si="2"/>
        <v>0</v>
      </c>
      <c r="AA27" s="207"/>
      <c r="AB27" s="66">
        <f t="shared" si="3"/>
        <v>0</v>
      </c>
      <c r="AC27" s="207"/>
      <c r="AD27" s="66">
        <f t="shared" si="14"/>
        <v>0</v>
      </c>
      <c r="AE27" s="50"/>
      <c r="AF27" s="50"/>
      <c r="AG27" s="66">
        <f t="shared" si="15"/>
        <v>71805.577499999999</v>
      </c>
      <c r="AH27" s="66"/>
      <c r="AI27" s="66">
        <f t="shared" si="4"/>
        <v>0</v>
      </c>
      <c r="AJ27" s="69"/>
      <c r="AK27" s="66">
        <f t="shared" si="5"/>
        <v>0</v>
      </c>
      <c r="AL27" s="426"/>
      <c r="AM27" s="69"/>
      <c r="AN27" s="69"/>
      <c r="AO27" s="202">
        <f t="shared" si="19"/>
        <v>95740.770000000019</v>
      </c>
      <c r="AP27" s="205"/>
      <c r="AQ27" s="66">
        <f t="shared" si="16"/>
        <v>478703.85000000009</v>
      </c>
      <c r="AR27" s="66">
        <f t="shared" si="17"/>
        <v>5744.4462000000012</v>
      </c>
    </row>
    <row r="28" spans="1:44" s="209" customFormat="1" ht="15" customHeight="1">
      <c r="A28" s="51">
        <v>6</v>
      </c>
      <c r="B28" s="62" t="s">
        <v>58</v>
      </c>
      <c r="C28" s="63" t="s">
        <v>55</v>
      </c>
      <c r="D28" s="64" t="s">
        <v>50</v>
      </c>
      <c r="E28" s="51" t="s">
        <v>51</v>
      </c>
      <c r="F28" s="408" t="s">
        <v>510</v>
      </c>
      <c r="G28" s="214">
        <v>5.41</v>
      </c>
      <c r="H28" s="66">
        <v>17697</v>
      </c>
      <c r="I28" s="200">
        <v>2</v>
      </c>
      <c r="J28" s="66">
        <f t="shared" si="18"/>
        <v>191481.54</v>
      </c>
      <c r="K28" s="200">
        <f t="shared" si="20"/>
        <v>1.5</v>
      </c>
      <c r="L28" s="200">
        <f t="shared" si="6"/>
        <v>24</v>
      </c>
      <c r="M28" s="426"/>
      <c r="N28" s="66">
        <f t="shared" si="7"/>
        <v>0</v>
      </c>
      <c r="O28" s="69">
        <v>24</v>
      </c>
      <c r="P28" s="66">
        <f t="shared" si="8"/>
        <v>287222.31</v>
      </c>
      <c r="Q28" s="69"/>
      <c r="R28" s="66">
        <f t="shared" si="9"/>
        <v>0</v>
      </c>
      <c r="S28" s="201">
        <f t="shared" si="10"/>
        <v>71805.577499999999</v>
      </c>
      <c r="T28" s="66">
        <f t="shared" si="11"/>
        <v>359027.88750000001</v>
      </c>
      <c r="U28" s="66">
        <f t="shared" si="12"/>
        <v>35902.78875</v>
      </c>
      <c r="V28" s="66">
        <f t="shared" si="13"/>
        <v>71805.577499999999</v>
      </c>
      <c r="W28" s="202"/>
      <c r="X28" s="66">
        <f t="shared" si="1"/>
        <v>0</v>
      </c>
      <c r="Y28" s="207"/>
      <c r="Z28" s="66">
        <f t="shared" si="2"/>
        <v>0</v>
      </c>
      <c r="AA28" s="207"/>
      <c r="AB28" s="66">
        <f t="shared" si="3"/>
        <v>0</v>
      </c>
      <c r="AC28" s="206">
        <v>24</v>
      </c>
      <c r="AD28" s="66">
        <f t="shared" si="14"/>
        <v>13272.75</v>
      </c>
      <c r="AE28" s="50"/>
      <c r="AF28" s="50"/>
      <c r="AG28" s="66">
        <f t="shared" si="15"/>
        <v>107708.36625000001</v>
      </c>
      <c r="AH28" s="66"/>
      <c r="AI28" s="66">
        <f t="shared" si="4"/>
        <v>0</v>
      </c>
      <c r="AJ28" s="69"/>
      <c r="AK28" s="66">
        <f t="shared" si="5"/>
        <v>0</v>
      </c>
      <c r="AL28" s="426"/>
      <c r="AM28" s="69"/>
      <c r="AN28" s="69"/>
      <c r="AO28" s="202">
        <f t="shared" si="19"/>
        <v>143611.155</v>
      </c>
      <c r="AP28" s="205"/>
      <c r="AQ28" s="66">
        <f t="shared" si="16"/>
        <v>731352.52500000002</v>
      </c>
      <c r="AR28" s="66">
        <f t="shared" si="17"/>
        <v>8776.2303000000011</v>
      </c>
    </row>
    <row r="29" spans="1:44" s="209" customFormat="1" ht="15" customHeight="1">
      <c r="A29" s="242">
        <v>7</v>
      </c>
      <c r="B29" s="62" t="s">
        <v>59</v>
      </c>
      <c r="C29" s="63" t="s">
        <v>60</v>
      </c>
      <c r="D29" s="64" t="s">
        <v>50</v>
      </c>
      <c r="E29" s="51" t="s">
        <v>51</v>
      </c>
      <c r="F29" s="408" t="s">
        <v>448</v>
      </c>
      <c r="G29" s="214">
        <v>5.16</v>
      </c>
      <c r="H29" s="66">
        <v>17697</v>
      </c>
      <c r="I29" s="200">
        <v>2</v>
      </c>
      <c r="J29" s="66">
        <f t="shared" si="18"/>
        <v>182633.04</v>
      </c>
      <c r="K29" s="200">
        <f t="shared" si="20"/>
        <v>1.125</v>
      </c>
      <c r="L29" s="200">
        <f t="shared" si="6"/>
        <v>18</v>
      </c>
      <c r="M29" s="69"/>
      <c r="N29" s="66">
        <f t="shared" si="7"/>
        <v>0</v>
      </c>
      <c r="O29" s="69">
        <v>9</v>
      </c>
      <c r="P29" s="66">
        <f t="shared" si="8"/>
        <v>102731.08500000001</v>
      </c>
      <c r="Q29" s="69">
        <v>9</v>
      </c>
      <c r="R29" s="66">
        <f t="shared" si="9"/>
        <v>102731.08500000001</v>
      </c>
      <c r="S29" s="201">
        <f t="shared" si="10"/>
        <v>51365.542500000003</v>
      </c>
      <c r="T29" s="66">
        <f t="shared" si="11"/>
        <v>256827.71250000002</v>
      </c>
      <c r="U29" s="66">
        <f t="shared" si="12"/>
        <v>25682.771250000005</v>
      </c>
      <c r="V29" s="66">
        <f t="shared" si="13"/>
        <v>51365.54250000001</v>
      </c>
      <c r="W29" s="202"/>
      <c r="X29" s="66">
        <f t="shared" si="1"/>
        <v>0</v>
      </c>
      <c r="Y29" s="206">
        <v>1</v>
      </c>
      <c r="Z29" s="66">
        <f t="shared" si="2"/>
        <v>10618.199999999999</v>
      </c>
      <c r="AA29" s="206">
        <v>18</v>
      </c>
      <c r="AB29" s="66">
        <f t="shared" si="3"/>
        <v>7963.6500000000005</v>
      </c>
      <c r="AC29" s="206"/>
      <c r="AD29" s="66">
        <f t="shared" si="14"/>
        <v>0</v>
      </c>
      <c r="AE29" s="50"/>
      <c r="AF29" s="50"/>
      <c r="AG29" s="66">
        <f t="shared" si="15"/>
        <v>77048.313750000001</v>
      </c>
      <c r="AH29" s="66">
        <v>18</v>
      </c>
      <c r="AI29" s="66">
        <f t="shared" si="4"/>
        <v>3981.8250000000003</v>
      </c>
      <c r="AJ29" s="69"/>
      <c r="AK29" s="66">
        <f t="shared" si="5"/>
        <v>0</v>
      </c>
      <c r="AL29" s="69"/>
      <c r="AM29" s="69"/>
      <c r="AN29" s="69"/>
      <c r="AO29" s="202">
        <f t="shared" si="19"/>
        <v>102731.08500000002</v>
      </c>
      <c r="AP29" s="205"/>
      <c r="AQ29" s="66">
        <f t="shared" si="16"/>
        <v>536256.10000000009</v>
      </c>
      <c r="AR29" s="66">
        <f t="shared" si="17"/>
        <v>6435.0732000000007</v>
      </c>
    </row>
    <row r="30" spans="1:44" s="204" customFormat="1" ht="15" customHeight="1">
      <c r="A30" s="51">
        <v>8</v>
      </c>
      <c r="B30" s="62" t="s">
        <v>61</v>
      </c>
      <c r="C30" s="63" t="s">
        <v>49</v>
      </c>
      <c r="D30" s="64" t="s">
        <v>50</v>
      </c>
      <c r="E30" s="51" t="s">
        <v>51</v>
      </c>
      <c r="F30" s="408" t="s">
        <v>511</v>
      </c>
      <c r="G30" s="214">
        <v>5.24</v>
      </c>
      <c r="H30" s="66">
        <v>17697</v>
      </c>
      <c r="I30" s="200">
        <v>2</v>
      </c>
      <c r="J30" s="66">
        <f t="shared" si="18"/>
        <v>185464.56</v>
      </c>
      <c r="K30" s="200">
        <f t="shared" si="20"/>
        <v>1.28125</v>
      </c>
      <c r="L30" s="200">
        <f t="shared" si="6"/>
        <v>20.5</v>
      </c>
      <c r="M30" s="210">
        <v>2.5</v>
      </c>
      <c r="N30" s="66">
        <f t="shared" si="7"/>
        <v>28978.837500000001</v>
      </c>
      <c r="O30" s="210">
        <v>8</v>
      </c>
      <c r="P30" s="66">
        <f t="shared" si="8"/>
        <v>92732.28</v>
      </c>
      <c r="Q30" s="210">
        <v>10</v>
      </c>
      <c r="R30" s="66">
        <f t="shared" si="9"/>
        <v>115915.35</v>
      </c>
      <c r="S30" s="201">
        <f t="shared" si="10"/>
        <v>59406.616875</v>
      </c>
      <c r="T30" s="66">
        <f t="shared" si="11"/>
        <v>297033.08437499998</v>
      </c>
      <c r="U30" s="66">
        <f t="shared" si="12"/>
        <v>29703.3084375</v>
      </c>
      <c r="V30" s="66">
        <f t="shared" si="13"/>
        <v>59406.616875</v>
      </c>
      <c r="W30" s="202"/>
      <c r="X30" s="66">
        <f t="shared" si="1"/>
        <v>0</v>
      </c>
      <c r="Y30" s="211">
        <v>1</v>
      </c>
      <c r="Z30" s="66">
        <f t="shared" si="2"/>
        <v>10618.199999999999</v>
      </c>
      <c r="AA30" s="211"/>
      <c r="AB30" s="66">
        <f t="shared" si="3"/>
        <v>0</v>
      </c>
      <c r="AC30" s="211"/>
      <c r="AD30" s="66">
        <f t="shared" si="14"/>
        <v>0</v>
      </c>
      <c r="AE30" s="212"/>
      <c r="AF30" s="212"/>
      <c r="AG30" s="66">
        <f t="shared" si="15"/>
        <v>89109.925312499996</v>
      </c>
      <c r="AH30" s="66"/>
      <c r="AI30" s="66">
        <f t="shared" si="4"/>
        <v>0</v>
      </c>
      <c r="AJ30" s="210"/>
      <c r="AK30" s="66">
        <f t="shared" si="5"/>
        <v>0</v>
      </c>
      <c r="AL30" s="210">
        <v>3539</v>
      </c>
      <c r="AM30" s="210"/>
      <c r="AN30" s="210"/>
      <c r="AO30" s="202">
        <f t="shared" si="19"/>
        <v>118813.23375</v>
      </c>
      <c r="AP30" s="205"/>
      <c r="AQ30" s="66">
        <f t="shared" si="16"/>
        <v>608224.36874999991</v>
      </c>
      <c r="AR30" s="66">
        <f t="shared" si="17"/>
        <v>7298.6924249999993</v>
      </c>
    </row>
    <row r="31" spans="1:44" s="204" customFormat="1" ht="15" customHeight="1">
      <c r="A31" s="51">
        <v>9</v>
      </c>
      <c r="B31" s="62" t="s">
        <v>62</v>
      </c>
      <c r="C31" s="63" t="s">
        <v>60</v>
      </c>
      <c r="D31" s="64" t="s">
        <v>50</v>
      </c>
      <c r="E31" s="51" t="s">
        <v>51</v>
      </c>
      <c r="F31" s="408" t="s">
        <v>512</v>
      </c>
      <c r="G31" s="214">
        <v>5.24</v>
      </c>
      <c r="H31" s="66">
        <v>17697</v>
      </c>
      <c r="I31" s="200">
        <v>2</v>
      </c>
      <c r="J31" s="66">
        <f t="shared" si="18"/>
        <v>185464.56</v>
      </c>
      <c r="K31" s="200">
        <f t="shared" si="20"/>
        <v>1.0625</v>
      </c>
      <c r="L31" s="200">
        <f t="shared" si="6"/>
        <v>17</v>
      </c>
      <c r="M31" s="210">
        <v>2</v>
      </c>
      <c r="N31" s="66">
        <f t="shared" si="7"/>
        <v>23183.07</v>
      </c>
      <c r="O31" s="210">
        <v>6</v>
      </c>
      <c r="P31" s="66">
        <f t="shared" si="8"/>
        <v>69549.209999999992</v>
      </c>
      <c r="Q31" s="210">
        <v>9</v>
      </c>
      <c r="R31" s="66">
        <f t="shared" si="9"/>
        <v>104323.815</v>
      </c>
      <c r="S31" s="201">
        <f t="shared" si="10"/>
        <v>49264.02375</v>
      </c>
      <c r="T31" s="66">
        <f t="shared" si="11"/>
        <v>246320.11874999999</v>
      </c>
      <c r="U31" s="66">
        <f t="shared" si="12"/>
        <v>24632.011875</v>
      </c>
      <c r="V31" s="66">
        <f t="shared" si="13"/>
        <v>49264.02375</v>
      </c>
      <c r="W31" s="202"/>
      <c r="X31" s="66">
        <f t="shared" si="1"/>
        <v>0</v>
      </c>
      <c r="Y31" s="211">
        <v>1</v>
      </c>
      <c r="Z31" s="66">
        <f t="shared" si="2"/>
        <v>10618.199999999999</v>
      </c>
      <c r="AA31" s="211">
        <v>17</v>
      </c>
      <c r="AB31" s="66">
        <f t="shared" si="3"/>
        <v>7521.2250000000004</v>
      </c>
      <c r="AC31" s="211"/>
      <c r="AD31" s="66">
        <f t="shared" si="14"/>
        <v>0</v>
      </c>
      <c r="AE31" s="212"/>
      <c r="AF31" s="212"/>
      <c r="AG31" s="66">
        <f t="shared" si="15"/>
        <v>73896.03562499999</v>
      </c>
      <c r="AH31" s="66"/>
      <c r="AI31" s="66">
        <f t="shared" si="4"/>
        <v>0</v>
      </c>
      <c r="AJ31" s="210"/>
      <c r="AK31" s="66">
        <f t="shared" si="5"/>
        <v>0</v>
      </c>
      <c r="AL31" s="210">
        <v>3539</v>
      </c>
      <c r="AM31" s="210"/>
      <c r="AN31" s="210"/>
      <c r="AO31" s="202">
        <f t="shared" si="19"/>
        <v>98528.047500000001</v>
      </c>
      <c r="AP31" s="205"/>
      <c r="AQ31" s="66">
        <f t="shared" si="16"/>
        <v>514336.66249999998</v>
      </c>
      <c r="AR31" s="66">
        <f t="shared" si="17"/>
        <v>6172.0399499999994</v>
      </c>
    </row>
    <row r="32" spans="1:44" s="204" customFormat="1" ht="15" customHeight="1">
      <c r="A32" s="51">
        <v>10</v>
      </c>
      <c r="B32" s="62" t="s">
        <v>63</v>
      </c>
      <c r="C32" s="63" t="s">
        <v>53</v>
      </c>
      <c r="D32" s="64" t="s">
        <v>50</v>
      </c>
      <c r="E32" s="51" t="s">
        <v>51</v>
      </c>
      <c r="F32" s="408" t="s">
        <v>513</v>
      </c>
      <c r="G32" s="214">
        <v>5.41</v>
      </c>
      <c r="H32" s="66">
        <v>17697</v>
      </c>
      <c r="I32" s="200">
        <v>2</v>
      </c>
      <c r="J32" s="66">
        <f t="shared" si="18"/>
        <v>191481.54</v>
      </c>
      <c r="K32" s="200">
        <f t="shared" si="20"/>
        <v>1.0625</v>
      </c>
      <c r="L32" s="200">
        <f t="shared" si="6"/>
        <v>17</v>
      </c>
      <c r="M32" s="210">
        <v>17</v>
      </c>
      <c r="N32" s="66">
        <f t="shared" si="7"/>
        <v>203449.13625000001</v>
      </c>
      <c r="O32" s="398"/>
      <c r="P32" s="66">
        <f t="shared" si="8"/>
        <v>0</v>
      </c>
      <c r="Q32" s="398"/>
      <c r="R32" s="66">
        <f t="shared" si="9"/>
        <v>0</v>
      </c>
      <c r="S32" s="201">
        <f t="shared" si="10"/>
        <v>50862.284062500003</v>
      </c>
      <c r="T32" s="66">
        <f t="shared" si="11"/>
        <v>254311.42031250001</v>
      </c>
      <c r="U32" s="66">
        <f t="shared" si="12"/>
        <v>25431.142031250001</v>
      </c>
      <c r="V32" s="66">
        <f t="shared" si="13"/>
        <v>50862.284062500003</v>
      </c>
      <c r="W32" s="202"/>
      <c r="X32" s="66">
        <f t="shared" si="1"/>
        <v>0</v>
      </c>
      <c r="Y32" s="211"/>
      <c r="Z32" s="66">
        <f t="shared" si="2"/>
        <v>0</v>
      </c>
      <c r="AA32" s="211">
        <v>4</v>
      </c>
      <c r="AB32" s="66">
        <f t="shared" si="3"/>
        <v>1769.7</v>
      </c>
      <c r="AC32" s="211"/>
      <c r="AD32" s="66">
        <f t="shared" si="14"/>
        <v>0</v>
      </c>
      <c r="AE32" s="212"/>
      <c r="AF32" s="212"/>
      <c r="AG32" s="66">
        <f t="shared" si="15"/>
        <v>76293.426093749993</v>
      </c>
      <c r="AH32" s="66"/>
      <c r="AI32" s="66">
        <f t="shared" si="4"/>
        <v>0</v>
      </c>
      <c r="AJ32" s="210"/>
      <c r="AK32" s="66">
        <f t="shared" si="5"/>
        <v>0</v>
      </c>
      <c r="AL32" s="210"/>
      <c r="AM32" s="210"/>
      <c r="AN32" s="213"/>
      <c r="AO32" s="202">
        <f t="shared" si="19"/>
        <v>101724.56812500001</v>
      </c>
      <c r="AP32" s="205"/>
      <c r="AQ32" s="66">
        <f t="shared" si="16"/>
        <v>510396.54062500002</v>
      </c>
      <c r="AR32" s="66">
        <f t="shared" si="17"/>
        <v>6124.7584875000011</v>
      </c>
    </row>
    <row r="33" spans="1:44" s="204" customFormat="1" ht="15" customHeight="1">
      <c r="A33" s="242">
        <v>11</v>
      </c>
      <c r="B33" s="62" t="s">
        <v>64</v>
      </c>
      <c r="C33" s="63" t="s">
        <v>65</v>
      </c>
      <c r="D33" s="64" t="s">
        <v>50</v>
      </c>
      <c r="E33" s="51" t="s">
        <v>51</v>
      </c>
      <c r="F33" s="408" t="s">
        <v>514</v>
      </c>
      <c r="G33" s="214">
        <v>5.41</v>
      </c>
      <c r="H33" s="66">
        <v>17697</v>
      </c>
      <c r="I33" s="200">
        <v>2</v>
      </c>
      <c r="J33" s="66">
        <f t="shared" si="18"/>
        <v>191481.54</v>
      </c>
      <c r="K33" s="200">
        <f t="shared" si="20"/>
        <v>1.1875</v>
      </c>
      <c r="L33" s="200">
        <f t="shared" si="6"/>
        <v>19</v>
      </c>
      <c r="M33" s="210"/>
      <c r="N33" s="66">
        <f t="shared" si="7"/>
        <v>0</v>
      </c>
      <c r="O33" s="210">
        <v>10</v>
      </c>
      <c r="P33" s="66">
        <f t="shared" si="8"/>
        <v>119675.96250000001</v>
      </c>
      <c r="Q33" s="396">
        <v>9</v>
      </c>
      <c r="R33" s="66">
        <f t="shared" si="9"/>
        <v>107708.36625000001</v>
      </c>
      <c r="S33" s="201">
        <f t="shared" si="10"/>
        <v>56846.082187500004</v>
      </c>
      <c r="T33" s="66">
        <f t="shared" si="11"/>
        <v>284230.41093750001</v>
      </c>
      <c r="U33" s="66">
        <f t="shared" si="12"/>
        <v>28423.041093750002</v>
      </c>
      <c r="V33" s="66">
        <f t="shared" si="13"/>
        <v>56846.082187500004</v>
      </c>
      <c r="W33" s="202"/>
      <c r="X33" s="66">
        <f t="shared" si="1"/>
        <v>0</v>
      </c>
      <c r="Y33" s="211"/>
      <c r="Z33" s="66">
        <f t="shared" si="2"/>
        <v>0</v>
      </c>
      <c r="AA33" s="211">
        <v>19</v>
      </c>
      <c r="AB33" s="66">
        <f t="shared" si="3"/>
        <v>8406.0750000000007</v>
      </c>
      <c r="AC33" s="211"/>
      <c r="AD33" s="66">
        <f t="shared" si="14"/>
        <v>0</v>
      </c>
      <c r="AE33" s="212"/>
      <c r="AF33" s="212"/>
      <c r="AG33" s="66">
        <f t="shared" si="15"/>
        <v>85269.123281249995</v>
      </c>
      <c r="AH33" s="66"/>
      <c r="AI33" s="66">
        <f t="shared" si="4"/>
        <v>0</v>
      </c>
      <c r="AJ33" s="210"/>
      <c r="AK33" s="66">
        <f t="shared" si="5"/>
        <v>0</v>
      </c>
      <c r="AL33" s="210">
        <v>3539</v>
      </c>
      <c r="AM33" s="210"/>
      <c r="AN33" s="213"/>
      <c r="AO33" s="202">
        <f t="shared" si="19"/>
        <v>113692.16437500001</v>
      </c>
      <c r="AP33" s="205"/>
      <c r="AQ33" s="66">
        <f t="shared" si="16"/>
        <v>580424.89687500009</v>
      </c>
      <c r="AR33" s="66">
        <f t="shared" si="17"/>
        <v>6965.0987625000007</v>
      </c>
    </row>
    <row r="34" spans="1:44" s="204" customFormat="1" ht="15" customHeight="1">
      <c r="A34" s="51">
        <v>12</v>
      </c>
      <c r="B34" s="62" t="s">
        <v>66</v>
      </c>
      <c r="C34" s="63" t="s">
        <v>67</v>
      </c>
      <c r="D34" s="64" t="s">
        <v>50</v>
      </c>
      <c r="E34" s="51" t="s">
        <v>51</v>
      </c>
      <c r="F34" s="408" t="s">
        <v>512</v>
      </c>
      <c r="G34" s="214">
        <v>5.24</v>
      </c>
      <c r="H34" s="66">
        <v>17697</v>
      </c>
      <c r="I34" s="200">
        <v>2</v>
      </c>
      <c r="J34" s="66">
        <f t="shared" si="18"/>
        <v>185464.56</v>
      </c>
      <c r="K34" s="200">
        <f t="shared" si="20"/>
        <v>1</v>
      </c>
      <c r="L34" s="200">
        <f t="shared" si="6"/>
        <v>16</v>
      </c>
      <c r="M34" s="210"/>
      <c r="N34" s="66">
        <f t="shared" si="7"/>
        <v>0</v>
      </c>
      <c r="O34" s="210">
        <v>13</v>
      </c>
      <c r="P34" s="66">
        <f t="shared" si="8"/>
        <v>150689.95499999999</v>
      </c>
      <c r="Q34" s="396">
        <v>3</v>
      </c>
      <c r="R34" s="66">
        <f t="shared" si="9"/>
        <v>34774.604999999996</v>
      </c>
      <c r="S34" s="201">
        <f t="shared" si="10"/>
        <v>46366.14</v>
      </c>
      <c r="T34" s="66">
        <f t="shared" si="11"/>
        <v>231830.7</v>
      </c>
      <c r="U34" s="66">
        <f t="shared" si="12"/>
        <v>23183.070000000003</v>
      </c>
      <c r="V34" s="66">
        <f t="shared" si="13"/>
        <v>46366.140000000007</v>
      </c>
      <c r="W34" s="202"/>
      <c r="X34" s="66">
        <f t="shared" si="1"/>
        <v>0</v>
      </c>
      <c r="Y34" s="211">
        <v>1</v>
      </c>
      <c r="Z34" s="66">
        <f t="shared" si="2"/>
        <v>10618.199999999999</v>
      </c>
      <c r="AA34" s="211"/>
      <c r="AB34" s="66">
        <f t="shared" si="3"/>
        <v>0</v>
      </c>
      <c r="AC34" s="211">
        <v>16</v>
      </c>
      <c r="AD34" s="66">
        <f t="shared" si="14"/>
        <v>8848.5</v>
      </c>
      <c r="AE34" s="212"/>
      <c r="AF34" s="212"/>
      <c r="AG34" s="66">
        <f t="shared" si="15"/>
        <v>69549.210000000006</v>
      </c>
      <c r="AH34" s="66"/>
      <c r="AI34" s="66">
        <f t="shared" si="4"/>
        <v>0</v>
      </c>
      <c r="AJ34" s="210"/>
      <c r="AK34" s="66">
        <f t="shared" si="5"/>
        <v>0</v>
      </c>
      <c r="AL34" s="210"/>
      <c r="AM34" s="210"/>
      <c r="AN34" s="213"/>
      <c r="AO34" s="202">
        <f t="shared" si="19"/>
        <v>92732.280000000013</v>
      </c>
      <c r="AP34" s="205"/>
      <c r="AQ34" s="66">
        <f t="shared" si="16"/>
        <v>483145.10000000009</v>
      </c>
      <c r="AR34" s="66">
        <f t="shared" si="17"/>
        <v>5797.7412000000013</v>
      </c>
    </row>
    <row r="35" spans="1:44" s="204" customFormat="1" ht="15" customHeight="1">
      <c r="A35" s="242">
        <v>13</v>
      </c>
      <c r="B35" s="62" t="s">
        <v>68</v>
      </c>
      <c r="C35" s="63" t="s">
        <v>67</v>
      </c>
      <c r="D35" s="64" t="s">
        <v>50</v>
      </c>
      <c r="E35" s="51" t="s">
        <v>51</v>
      </c>
      <c r="F35" s="408" t="s">
        <v>515</v>
      </c>
      <c r="G35" s="214">
        <v>5.41</v>
      </c>
      <c r="H35" s="66">
        <v>17697</v>
      </c>
      <c r="I35" s="200">
        <v>2</v>
      </c>
      <c r="J35" s="66">
        <f t="shared" si="18"/>
        <v>191481.54</v>
      </c>
      <c r="K35" s="200">
        <f t="shared" si="20"/>
        <v>1.125</v>
      </c>
      <c r="L35" s="200">
        <f t="shared" si="6"/>
        <v>18</v>
      </c>
      <c r="M35" s="51"/>
      <c r="N35" s="66">
        <f t="shared" si="7"/>
        <v>0</v>
      </c>
      <c r="O35" s="396">
        <v>12</v>
      </c>
      <c r="P35" s="66">
        <f t="shared" si="8"/>
        <v>143611.155</v>
      </c>
      <c r="Q35" s="396">
        <v>6</v>
      </c>
      <c r="R35" s="66">
        <f t="shared" si="9"/>
        <v>71805.577499999999</v>
      </c>
      <c r="S35" s="201">
        <f t="shared" si="10"/>
        <v>53854.183124999996</v>
      </c>
      <c r="T35" s="66">
        <f t="shared" si="11"/>
        <v>269270.91562499997</v>
      </c>
      <c r="U35" s="66">
        <f t="shared" si="12"/>
        <v>26927.091562499998</v>
      </c>
      <c r="V35" s="66">
        <f t="shared" si="13"/>
        <v>53854.183124999996</v>
      </c>
      <c r="W35" s="202"/>
      <c r="X35" s="66">
        <f t="shared" si="1"/>
        <v>0</v>
      </c>
      <c r="Y35" s="211">
        <v>1</v>
      </c>
      <c r="Z35" s="66">
        <f t="shared" si="2"/>
        <v>10618.199999999999</v>
      </c>
      <c r="AA35" s="67"/>
      <c r="AB35" s="66">
        <f t="shared" si="3"/>
        <v>0</v>
      </c>
      <c r="AC35" s="67">
        <v>18</v>
      </c>
      <c r="AD35" s="66">
        <f t="shared" si="14"/>
        <v>9954.5625</v>
      </c>
      <c r="AE35" s="68"/>
      <c r="AF35" s="66"/>
      <c r="AG35" s="66">
        <f t="shared" si="15"/>
        <v>80781.274687499987</v>
      </c>
      <c r="AH35" s="66">
        <v>18</v>
      </c>
      <c r="AI35" s="66">
        <f t="shared" si="4"/>
        <v>3981.8250000000003</v>
      </c>
      <c r="AJ35" s="203"/>
      <c r="AK35" s="66">
        <f t="shared" si="5"/>
        <v>0</v>
      </c>
      <c r="AL35" s="66"/>
      <c r="AM35" s="66"/>
      <c r="AN35" s="66"/>
      <c r="AO35" s="202">
        <f t="shared" si="19"/>
        <v>107708.36624999999</v>
      </c>
      <c r="AP35" s="205"/>
      <c r="AQ35" s="66">
        <f t="shared" si="16"/>
        <v>563133.41874999995</v>
      </c>
      <c r="AR35" s="66">
        <f t="shared" si="17"/>
        <v>6757.601024999999</v>
      </c>
    </row>
    <row r="36" spans="1:44" s="204" customFormat="1" ht="15" customHeight="1">
      <c r="A36" s="51">
        <v>14</v>
      </c>
      <c r="B36" s="62" t="s">
        <v>69</v>
      </c>
      <c r="C36" s="63" t="s">
        <v>67</v>
      </c>
      <c r="D36" s="64" t="s">
        <v>50</v>
      </c>
      <c r="E36" s="51" t="s">
        <v>51</v>
      </c>
      <c r="F36" s="408" t="s">
        <v>512</v>
      </c>
      <c r="G36" s="214">
        <v>5.24</v>
      </c>
      <c r="H36" s="66">
        <v>17697</v>
      </c>
      <c r="I36" s="200">
        <v>2</v>
      </c>
      <c r="J36" s="66">
        <f t="shared" si="18"/>
        <v>185464.56</v>
      </c>
      <c r="K36" s="200">
        <f t="shared" si="20"/>
        <v>1</v>
      </c>
      <c r="L36" s="200">
        <f t="shared" si="6"/>
        <v>16</v>
      </c>
      <c r="M36" s="51"/>
      <c r="N36" s="66">
        <f t="shared" si="7"/>
        <v>0</v>
      </c>
      <c r="O36" s="396">
        <v>8</v>
      </c>
      <c r="P36" s="66">
        <f t="shared" si="8"/>
        <v>92732.28</v>
      </c>
      <c r="Q36" s="396">
        <v>8</v>
      </c>
      <c r="R36" s="66">
        <f t="shared" si="9"/>
        <v>92732.28</v>
      </c>
      <c r="S36" s="201">
        <f t="shared" si="10"/>
        <v>46366.14</v>
      </c>
      <c r="T36" s="66">
        <f t="shared" si="11"/>
        <v>231830.7</v>
      </c>
      <c r="U36" s="66">
        <f t="shared" si="12"/>
        <v>23183.070000000003</v>
      </c>
      <c r="V36" s="66">
        <f t="shared" si="13"/>
        <v>46366.140000000007</v>
      </c>
      <c r="W36" s="202"/>
      <c r="X36" s="66">
        <f t="shared" si="1"/>
        <v>0</v>
      </c>
      <c r="Y36" s="211">
        <v>1</v>
      </c>
      <c r="Z36" s="66">
        <f t="shared" si="2"/>
        <v>10618.199999999999</v>
      </c>
      <c r="AA36" s="67"/>
      <c r="AB36" s="66">
        <f t="shared" si="3"/>
        <v>0</v>
      </c>
      <c r="AC36" s="67">
        <v>16</v>
      </c>
      <c r="AD36" s="66">
        <f t="shared" si="14"/>
        <v>8848.5</v>
      </c>
      <c r="AE36" s="68"/>
      <c r="AF36" s="66"/>
      <c r="AG36" s="66">
        <f t="shared" si="15"/>
        <v>69549.210000000006</v>
      </c>
      <c r="AH36" s="66"/>
      <c r="AI36" s="66">
        <f t="shared" si="4"/>
        <v>0</v>
      </c>
      <c r="AJ36" s="201"/>
      <c r="AK36" s="66">
        <f t="shared" si="5"/>
        <v>0</v>
      </c>
      <c r="AL36" s="66"/>
      <c r="AM36" s="66"/>
      <c r="AN36" s="66"/>
      <c r="AO36" s="202">
        <f t="shared" si="19"/>
        <v>92732.280000000013</v>
      </c>
      <c r="AP36" s="66"/>
      <c r="AQ36" s="66">
        <f t="shared" si="16"/>
        <v>483145.10000000009</v>
      </c>
      <c r="AR36" s="66">
        <f t="shared" si="17"/>
        <v>5797.7412000000013</v>
      </c>
    </row>
    <row r="37" spans="1:44" s="204" customFormat="1" ht="15" customHeight="1">
      <c r="A37" s="51">
        <v>15</v>
      </c>
      <c r="B37" s="62" t="s">
        <v>70</v>
      </c>
      <c r="C37" s="63" t="s">
        <v>71</v>
      </c>
      <c r="D37" s="64" t="s">
        <v>50</v>
      </c>
      <c r="E37" s="51" t="s">
        <v>51</v>
      </c>
      <c r="F37" s="408" t="s">
        <v>511</v>
      </c>
      <c r="G37" s="214">
        <v>5.24</v>
      </c>
      <c r="H37" s="66">
        <v>17697</v>
      </c>
      <c r="I37" s="200">
        <v>2</v>
      </c>
      <c r="J37" s="66">
        <f t="shared" si="18"/>
        <v>185464.56</v>
      </c>
      <c r="K37" s="200">
        <f t="shared" si="20"/>
        <v>1.375</v>
      </c>
      <c r="L37" s="200">
        <f t="shared" si="6"/>
        <v>22</v>
      </c>
      <c r="M37" s="406"/>
      <c r="N37" s="66">
        <f t="shared" si="7"/>
        <v>0</v>
      </c>
      <c r="O37" s="206">
        <v>18</v>
      </c>
      <c r="P37" s="66">
        <f t="shared" si="8"/>
        <v>208647.63</v>
      </c>
      <c r="Q37" s="206">
        <v>4</v>
      </c>
      <c r="R37" s="66">
        <f t="shared" si="9"/>
        <v>46366.14</v>
      </c>
      <c r="S37" s="201">
        <f t="shared" si="10"/>
        <v>63753.442500000005</v>
      </c>
      <c r="T37" s="66">
        <f t="shared" si="11"/>
        <v>318767.21250000002</v>
      </c>
      <c r="U37" s="66">
        <f t="shared" si="12"/>
        <v>31876.721250000002</v>
      </c>
      <c r="V37" s="66">
        <f t="shared" si="13"/>
        <v>63753.442500000005</v>
      </c>
      <c r="W37" s="202"/>
      <c r="X37" s="66">
        <f t="shared" si="1"/>
        <v>0</v>
      </c>
      <c r="Y37" s="206">
        <v>1</v>
      </c>
      <c r="Z37" s="66">
        <f t="shared" si="2"/>
        <v>10618.199999999999</v>
      </c>
      <c r="AA37" s="206">
        <v>22</v>
      </c>
      <c r="AB37" s="66">
        <f t="shared" si="3"/>
        <v>9733.35</v>
      </c>
      <c r="AC37" s="211"/>
      <c r="AD37" s="66">
        <f t="shared" si="14"/>
        <v>0</v>
      </c>
      <c r="AE37" s="50"/>
      <c r="AF37" s="50"/>
      <c r="AG37" s="66">
        <f t="shared" si="15"/>
        <v>95630.163750000007</v>
      </c>
      <c r="AH37" s="66"/>
      <c r="AI37" s="66">
        <f t="shared" si="4"/>
        <v>0</v>
      </c>
      <c r="AJ37" s="426"/>
      <c r="AK37" s="66">
        <f t="shared" si="5"/>
        <v>0</v>
      </c>
      <c r="AL37" s="208"/>
      <c r="AM37" s="201"/>
      <c r="AN37" s="201"/>
      <c r="AO37" s="202">
        <f t="shared" si="19"/>
        <v>127506.88500000001</v>
      </c>
      <c r="AP37" s="201"/>
      <c r="AQ37" s="66">
        <f t="shared" si="16"/>
        <v>657908.97500000009</v>
      </c>
      <c r="AR37" s="66">
        <f t="shared" si="17"/>
        <v>7894.9077000000016</v>
      </c>
    </row>
    <row r="38" spans="1:44" s="204" customFormat="1" ht="15" customHeight="1">
      <c r="A38" s="51">
        <v>16</v>
      </c>
      <c r="B38" s="63" t="s">
        <v>72</v>
      </c>
      <c r="C38" s="63" t="s">
        <v>67</v>
      </c>
      <c r="D38" s="64" t="s">
        <v>50</v>
      </c>
      <c r="E38" s="51" t="s">
        <v>51</v>
      </c>
      <c r="F38" s="408" t="s">
        <v>516</v>
      </c>
      <c r="G38" s="214">
        <v>5.41</v>
      </c>
      <c r="H38" s="66">
        <v>17697</v>
      </c>
      <c r="I38" s="200">
        <v>2</v>
      </c>
      <c r="J38" s="66">
        <f t="shared" si="18"/>
        <v>191481.54</v>
      </c>
      <c r="K38" s="200">
        <f t="shared" si="20"/>
        <v>1.0625</v>
      </c>
      <c r="L38" s="200">
        <f t="shared" si="6"/>
        <v>17</v>
      </c>
      <c r="M38" s="426"/>
      <c r="N38" s="66">
        <f t="shared" si="7"/>
        <v>0</v>
      </c>
      <c r="O38" s="69">
        <v>17</v>
      </c>
      <c r="P38" s="66">
        <f t="shared" si="8"/>
        <v>203449.13625000001</v>
      </c>
      <c r="Q38" s="69"/>
      <c r="R38" s="66">
        <f t="shared" si="9"/>
        <v>0</v>
      </c>
      <c r="S38" s="201">
        <f t="shared" si="10"/>
        <v>50862.284062500003</v>
      </c>
      <c r="T38" s="66">
        <f t="shared" si="11"/>
        <v>254311.42031250001</v>
      </c>
      <c r="U38" s="66">
        <f t="shared" si="12"/>
        <v>25431.142031250001</v>
      </c>
      <c r="V38" s="66">
        <f t="shared" si="13"/>
        <v>50862.284062500003</v>
      </c>
      <c r="W38" s="202"/>
      <c r="X38" s="66">
        <f t="shared" si="1"/>
        <v>0</v>
      </c>
      <c r="Y38" s="207"/>
      <c r="Z38" s="66">
        <f t="shared" si="2"/>
        <v>0</v>
      </c>
      <c r="AA38" s="207"/>
      <c r="AB38" s="66">
        <f t="shared" si="3"/>
        <v>0</v>
      </c>
      <c r="AC38" s="67">
        <v>17</v>
      </c>
      <c r="AD38" s="66">
        <f t="shared" si="14"/>
        <v>9401.53125</v>
      </c>
      <c r="AE38" s="50"/>
      <c r="AF38" s="50"/>
      <c r="AG38" s="66">
        <f t="shared" si="15"/>
        <v>76293.426093749993</v>
      </c>
      <c r="AH38" s="66"/>
      <c r="AI38" s="66">
        <f t="shared" si="4"/>
        <v>0</v>
      </c>
      <c r="AJ38" s="426"/>
      <c r="AK38" s="66">
        <f t="shared" si="5"/>
        <v>0</v>
      </c>
      <c r="AL38" s="426"/>
      <c r="AM38" s="69"/>
      <c r="AN38" s="69"/>
      <c r="AO38" s="202">
        <f t="shared" si="19"/>
        <v>101724.56812500001</v>
      </c>
      <c r="AP38" s="69"/>
      <c r="AQ38" s="66">
        <f t="shared" si="16"/>
        <v>518041.37187500001</v>
      </c>
      <c r="AR38" s="66">
        <f t="shared" si="17"/>
        <v>6216.4964625000002</v>
      </c>
    </row>
    <row r="39" spans="1:44" s="204" customFormat="1" ht="15" customHeight="1">
      <c r="A39" s="242">
        <v>17</v>
      </c>
      <c r="B39" s="62" t="s">
        <v>73</v>
      </c>
      <c r="C39" s="63" t="s">
        <v>55</v>
      </c>
      <c r="D39" s="64" t="s">
        <v>50</v>
      </c>
      <c r="E39" s="51" t="s">
        <v>51</v>
      </c>
      <c r="F39" s="408" t="s">
        <v>517</v>
      </c>
      <c r="G39" s="214">
        <v>5.41</v>
      </c>
      <c r="H39" s="66">
        <v>17697</v>
      </c>
      <c r="I39" s="200">
        <v>2</v>
      </c>
      <c r="J39" s="66">
        <f t="shared" si="18"/>
        <v>191481.54</v>
      </c>
      <c r="K39" s="200">
        <f t="shared" si="20"/>
        <v>1.5</v>
      </c>
      <c r="L39" s="200">
        <f t="shared" si="6"/>
        <v>24</v>
      </c>
      <c r="M39" s="69">
        <v>2</v>
      </c>
      <c r="N39" s="66">
        <f t="shared" si="7"/>
        <v>23935.192500000001</v>
      </c>
      <c r="O39" s="69">
        <v>18</v>
      </c>
      <c r="P39" s="66">
        <f t="shared" si="8"/>
        <v>215416.73250000001</v>
      </c>
      <c r="Q39" s="69">
        <v>4</v>
      </c>
      <c r="R39" s="66">
        <f t="shared" si="9"/>
        <v>47870.385000000002</v>
      </c>
      <c r="S39" s="201">
        <f t="shared" si="10"/>
        <v>71805.577499999999</v>
      </c>
      <c r="T39" s="66">
        <f t="shared" si="11"/>
        <v>359027.88750000001</v>
      </c>
      <c r="U39" s="66">
        <f t="shared" si="12"/>
        <v>35902.78875</v>
      </c>
      <c r="V39" s="66">
        <f t="shared" si="13"/>
        <v>71805.577499999999</v>
      </c>
      <c r="W39" s="202"/>
      <c r="X39" s="66">
        <f t="shared" si="1"/>
        <v>0</v>
      </c>
      <c r="Y39" s="207"/>
      <c r="Z39" s="66">
        <f t="shared" si="2"/>
        <v>0</v>
      </c>
      <c r="AA39" s="207"/>
      <c r="AB39" s="66">
        <f t="shared" si="3"/>
        <v>0</v>
      </c>
      <c r="AC39" s="206">
        <v>24</v>
      </c>
      <c r="AD39" s="66">
        <f t="shared" si="14"/>
        <v>13272.75</v>
      </c>
      <c r="AE39" s="50"/>
      <c r="AF39" s="50"/>
      <c r="AG39" s="66">
        <f t="shared" si="15"/>
        <v>107708.36625000001</v>
      </c>
      <c r="AH39" s="66"/>
      <c r="AI39" s="66">
        <f t="shared" si="4"/>
        <v>0</v>
      </c>
      <c r="AJ39" s="426"/>
      <c r="AK39" s="66">
        <f t="shared" si="5"/>
        <v>0</v>
      </c>
      <c r="AL39" s="426"/>
      <c r="AM39" s="69"/>
      <c r="AN39" s="69"/>
      <c r="AO39" s="202">
        <f t="shared" si="19"/>
        <v>143611.155</v>
      </c>
      <c r="AP39" s="69"/>
      <c r="AQ39" s="66">
        <f t="shared" si="16"/>
        <v>731352.52500000002</v>
      </c>
      <c r="AR39" s="66">
        <f t="shared" si="17"/>
        <v>8776.2303000000011</v>
      </c>
    </row>
    <row r="40" spans="1:44" s="204" customFormat="1" ht="15" customHeight="1">
      <c r="A40" s="51">
        <v>18</v>
      </c>
      <c r="B40" s="62" t="s">
        <v>74</v>
      </c>
      <c r="C40" s="63" t="s">
        <v>53</v>
      </c>
      <c r="D40" s="64" t="s">
        <v>50</v>
      </c>
      <c r="E40" s="51" t="s">
        <v>51</v>
      </c>
      <c r="F40" s="408" t="s">
        <v>453</v>
      </c>
      <c r="G40" s="214">
        <v>5.24</v>
      </c>
      <c r="H40" s="66">
        <v>17697</v>
      </c>
      <c r="I40" s="200">
        <v>2</v>
      </c>
      <c r="J40" s="66">
        <f t="shared" si="18"/>
        <v>185464.56</v>
      </c>
      <c r="K40" s="200">
        <f t="shared" si="20"/>
        <v>1.125</v>
      </c>
      <c r="L40" s="200">
        <f t="shared" si="6"/>
        <v>18</v>
      </c>
      <c r="M40" s="69">
        <v>18</v>
      </c>
      <c r="N40" s="66">
        <f t="shared" si="7"/>
        <v>208647.63</v>
      </c>
      <c r="O40" s="397"/>
      <c r="P40" s="66">
        <f t="shared" si="8"/>
        <v>0</v>
      </c>
      <c r="Q40" s="397"/>
      <c r="R40" s="66">
        <f t="shared" si="9"/>
        <v>0</v>
      </c>
      <c r="S40" s="201">
        <f t="shared" si="10"/>
        <v>52161.907500000001</v>
      </c>
      <c r="T40" s="66">
        <f t="shared" si="11"/>
        <v>260809.53750000001</v>
      </c>
      <c r="U40" s="66">
        <f t="shared" si="12"/>
        <v>26080.953750000001</v>
      </c>
      <c r="V40" s="66">
        <f t="shared" si="13"/>
        <v>52161.907500000001</v>
      </c>
      <c r="W40" s="202">
        <v>1</v>
      </c>
      <c r="X40" s="66">
        <f t="shared" si="1"/>
        <v>8848.5</v>
      </c>
      <c r="Y40" s="207"/>
      <c r="Z40" s="66">
        <f t="shared" si="2"/>
        <v>0</v>
      </c>
      <c r="AA40" s="206">
        <v>18</v>
      </c>
      <c r="AB40" s="66">
        <f t="shared" si="3"/>
        <v>7963.6500000000005</v>
      </c>
      <c r="AC40" s="207"/>
      <c r="AD40" s="66">
        <f t="shared" si="14"/>
        <v>0</v>
      </c>
      <c r="AE40" s="50"/>
      <c r="AF40" s="50"/>
      <c r="AG40" s="66">
        <f t="shared" si="15"/>
        <v>78242.861250000002</v>
      </c>
      <c r="AH40" s="66">
        <v>11</v>
      </c>
      <c r="AI40" s="66">
        <f t="shared" si="4"/>
        <v>2433.3375000000001</v>
      </c>
      <c r="AJ40" s="426"/>
      <c r="AK40" s="66">
        <f t="shared" si="5"/>
        <v>0</v>
      </c>
      <c r="AL40" s="426"/>
      <c r="AM40" s="69"/>
      <c r="AN40" s="69"/>
      <c r="AO40" s="202">
        <f t="shared" si="19"/>
        <v>104323.815</v>
      </c>
      <c r="AP40" s="201"/>
      <c r="AQ40" s="66">
        <f t="shared" si="16"/>
        <v>540894.56250000012</v>
      </c>
      <c r="AR40" s="66">
        <f t="shared" si="17"/>
        <v>6490.7347500000014</v>
      </c>
    </row>
    <row r="41" spans="1:44" s="204" customFormat="1" ht="15" customHeight="1">
      <c r="A41" s="242">
        <v>19</v>
      </c>
      <c r="B41" s="62" t="s">
        <v>76</v>
      </c>
      <c r="C41" s="63" t="s">
        <v>53</v>
      </c>
      <c r="D41" s="64" t="s">
        <v>50</v>
      </c>
      <c r="E41" s="51" t="s">
        <v>51</v>
      </c>
      <c r="F41" s="408" t="s">
        <v>519</v>
      </c>
      <c r="G41" s="214">
        <v>5.08</v>
      </c>
      <c r="H41" s="66">
        <v>17697</v>
      </c>
      <c r="I41" s="200">
        <v>2</v>
      </c>
      <c r="J41" s="66">
        <f t="shared" si="18"/>
        <v>179801.52</v>
      </c>
      <c r="K41" s="200">
        <f t="shared" si="20"/>
        <v>1.25</v>
      </c>
      <c r="L41" s="200">
        <f t="shared" si="6"/>
        <v>20</v>
      </c>
      <c r="M41" s="210">
        <v>20</v>
      </c>
      <c r="N41" s="66">
        <f t="shared" si="7"/>
        <v>224751.9</v>
      </c>
      <c r="O41" s="398"/>
      <c r="P41" s="66">
        <f t="shared" si="8"/>
        <v>0</v>
      </c>
      <c r="Q41" s="398"/>
      <c r="R41" s="66">
        <f t="shared" si="9"/>
        <v>0</v>
      </c>
      <c r="S41" s="201">
        <f t="shared" si="10"/>
        <v>56187.974999999999</v>
      </c>
      <c r="T41" s="66">
        <f t="shared" si="11"/>
        <v>280939.875</v>
      </c>
      <c r="U41" s="66">
        <f t="shared" si="12"/>
        <v>28093.987500000003</v>
      </c>
      <c r="V41" s="66">
        <f t="shared" si="13"/>
        <v>56187.975000000006</v>
      </c>
      <c r="W41" s="202">
        <v>1</v>
      </c>
      <c r="X41" s="66">
        <f t="shared" si="1"/>
        <v>8848.5</v>
      </c>
      <c r="Y41" s="211"/>
      <c r="Z41" s="66">
        <f t="shared" si="2"/>
        <v>0</v>
      </c>
      <c r="AA41" s="211">
        <v>18</v>
      </c>
      <c r="AB41" s="66">
        <f t="shared" si="3"/>
        <v>7963.6500000000005</v>
      </c>
      <c r="AC41" s="211"/>
      <c r="AD41" s="66">
        <f t="shared" si="14"/>
        <v>0</v>
      </c>
      <c r="AE41" s="212">
        <v>34500</v>
      </c>
      <c r="AF41" s="212"/>
      <c r="AG41" s="66">
        <f t="shared" si="15"/>
        <v>84281.962499999994</v>
      </c>
      <c r="AH41" s="66"/>
      <c r="AI41" s="66">
        <f t="shared" si="4"/>
        <v>0</v>
      </c>
      <c r="AJ41" s="210"/>
      <c r="AK41" s="66">
        <f t="shared" si="5"/>
        <v>0</v>
      </c>
      <c r="AL41" s="210"/>
      <c r="AM41" s="210"/>
      <c r="AN41" s="210"/>
      <c r="AO41" s="202">
        <f t="shared" si="19"/>
        <v>112375.95000000001</v>
      </c>
      <c r="AP41" s="210"/>
      <c r="AQ41" s="66">
        <f t="shared" si="16"/>
        <v>613210.90000000014</v>
      </c>
      <c r="AR41" s="66">
        <f t="shared" si="17"/>
        <v>7358.5308000000014</v>
      </c>
    </row>
    <row r="42" spans="1:44" s="204" customFormat="1" ht="15" customHeight="1">
      <c r="A42" s="51">
        <v>20</v>
      </c>
      <c r="B42" s="62" t="s">
        <v>77</v>
      </c>
      <c r="C42" s="63" t="s">
        <v>67</v>
      </c>
      <c r="D42" s="64" t="s">
        <v>50</v>
      </c>
      <c r="E42" s="51" t="s">
        <v>51</v>
      </c>
      <c r="F42" s="408" t="s">
        <v>520</v>
      </c>
      <c r="G42" s="214">
        <v>5.41</v>
      </c>
      <c r="H42" s="66">
        <v>17697</v>
      </c>
      <c r="I42" s="200">
        <v>2</v>
      </c>
      <c r="J42" s="66">
        <f t="shared" si="18"/>
        <v>191481.54</v>
      </c>
      <c r="K42" s="200">
        <f t="shared" si="20"/>
        <v>1.0625</v>
      </c>
      <c r="L42" s="200">
        <f t="shared" si="6"/>
        <v>17</v>
      </c>
      <c r="M42" s="210"/>
      <c r="N42" s="66">
        <f t="shared" si="7"/>
        <v>0</v>
      </c>
      <c r="O42" s="210">
        <v>10</v>
      </c>
      <c r="P42" s="66">
        <f t="shared" si="8"/>
        <v>119675.96250000001</v>
      </c>
      <c r="Q42" s="396">
        <v>7</v>
      </c>
      <c r="R42" s="66">
        <f t="shared" si="9"/>
        <v>83773.173750000002</v>
      </c>
      <c r="S42" s="201">
        <f t="shared" si="10"/>
        <v>50862.284062500003</v>
      </c>
      <c r="T42" s="66">
        <f t="shared" si="11"/>
        <v>254311.42031250001</v>
      </c>
      <c r="U42" s="66">
        <f t="shared" si="12"/>
        <v>25431.142031250001</v>
      </c>
      <c r="V42" s="66">
        <f t="shared" si="13"/>
        <v>50862.284062500003</v>
      </c>
      <c r="W42" s="202"/>
      <c r="X42" s="66">
        <f t="shared" si="1"/>
        <v>0</v>
      </c>
      <c r="Y42" s="211"/>
      <c r="Z42" s="66">
        <f t="shared" si="2"/>
        <v>0</v>
      </c>
      <c r="AA42" s="211"/>
      <c r="AB42" s="66">
        <f t="shared" si="3"/>
        <v>0</v>
      </c>
      <c r="AC42" s="211">
        <v>17</v>
      </c>
      <c r="AD42" s="66">
        <f t="shared" si="14"/>
        <v>9401.53125</v>
      </c>
      <c r="AE42" s="212"/>
      <c r="AF42" s="212"/>
      <c r="AG42" s="66">
        <f t="shared" si="15"/>
        <v>76293.426093749993</v>
      </c>
      <c r="AH42" s="66">
        <v>17</v>
      </c>
      <c r="AI42" s="66">
        <f t="shared" si="4"/>
        <v>3760.6125000000002</v>
      </c>
      <c r="AJ42" s="210"/>
      <c r="AK42" s="66">
        <f t="shared" si="5"/>
        <v>0</v>
      </c>
      <c r="AL42" s="210"/>
      <c r="AM42" s="210"/>
      <c r="AN42" s="210"/>
      <c r="AO42" s="202">
        <f t="shared" si="19"/>
        <v>101724.56812500001</v>
      </c>
      <c r="AP42" s="210"/>
      <c r="AQ42" s="66">
        <f t="shared" si="16"/>
        <v>521818.984375</v>
      </c>
      <c r="AR42" s="66">
        <f t="shared" si="17"/>
        <v>6261.8278124999997</v>
      </c>
    </row>
    <row r="43" spans="1:44" s="204" customFormat="1" ht="15" customHeight="1">
      <c r="A43" s="51">
        <v>21</v>
      </c>
      <c r="B43" s="62" t="s">
        <v>78</v>
      </c>
      <c r="C43" s="63" t="s">
        <v>67</v>
      </c>
      <c r="D43" s="64" t="s">
        <v>50</v>
      </c>
      <c r="E43" s="51" t="s">
        <v>51</v>
      </c>
      <c r="F43" s="408" t="s">
        <v>521</v>
      </c>
      <c r="G43" s="214">
        <v>5.41</v>
      </c>
      <c r="H43" s="66">
        <v>17697</v>
      </c>
      <c r="I43" s="200">
        <v>2</v>
      </c>
      <c r="J43" s="66">
        <f t="shared" si="18"/>
        <v>191481.54</v>
      </c>
      <c r="K43" s="200">
        <f t="shared" si="20"/>
        <v>1.0625</v>
      </c>
      <c r="L43" s="200">
        <f t="shared" si="6"/>
        <v>17</v>
      </c>
      <c r="M43" s="210"/>
      <c r="N43" s="66">
        <f t="shared" si="7"/>
        <v>0</v>
      </c>
      <c r="O43" s="210">
        <v>17</v>
      </c>
      <c r="P43" s="66">
        <f t="shared" si="8"/>
        <v>203449.13625000001</v>
      </c>
      <c r="Q43" s="396"/>
      <c r="R43" s="66">
        <f t="shared" si="9"/>
        <v>0</v>
      </c>
      <c r="S43" s="201">
        <f t="shared" si="10"/>
        <v>50862.284062500003</v>
      </c>
      <c r="T43" s="66">
        <f t="shared" si="11"/>
        <v>254311.42031250001</v>
      </c>
      <c r="U43" s="66">
        <f t="shared" si="12"/>
        <v>25431.142031250001</v>
      </c>
      <c r="V43" s="66">
        <f t="shared" si="13"/>
        <v>50862.284062500003</v>
      </c>
      <c r="W43" s="202"/>
      <c r="X43" s="66">
        <f t="shared" si="1"/>
        <v>0</v>
      </c>
      <c r="Y43" s="211"/>
      <c r="Z43" s="66">
        <f t="shared" si="2"/>
        <v>0</v>
      </c>
      <c r="AA43" s="211"/>
      <c r="AB43" s="66">
        <f t="shared" si="3"/>
        <v>0</v>
      </c>
      <c r="AC43" s="211">
        <v>17</v>
      </c>
      <c r="AD43" s="66">
        <f t="shared" si="14"/>
        <v>9401.53125</v>
      </c>
      <c r="AE43" s="212"/>
      <c r="AF43" s="212"/>
      <c r="AG43" s="66">
        <f t="shared" si="15"/>
        <v>76293.426093749993</v>
      </c>
      <c r="AH43" s="66"/>
      <c r="AI43" s="66">
        <f t="shared" si="4"/>
        <v>0</v>
      </c>
      <c r="AJ43" s="210"/>
      <c r="AK43" s="66">
        <f t="shared" si="5"/>
        <v>0</v>
      </c>
      <c r="AL43" s="210"/>
      <c r="AM43" s="210"/>
      <c r="AN43" s="213"/>
      <c r="AO43" s="202">
        <f t="shared" si="19"/>
        <v>101724.56812500001</v>
      </c>
      <c r="AP43" s="210"/>
      <c r="AQ43" s="66">
        <f t="shared" si="16"/>
        <v>518041.37187500001</v>
      </c>
      <c r="AR43" s="66">
        <f t="shared" si="17"/>
        <v>6216.4964625000002</v>
      </c>
    </row>
    <row r="44" spans="1:44" s="204" customFormat="1" ht="15" customHeight="1">
      <c r="A44" s="51">
        <v>22</v>
      </c>
      <c r="B44" s="62" t="s">
        <v>79</v>
      </c>
      <c r="C44" s="63" t="s">
        <v>57</v>
      </c>
      <c r="D44" s="64" t="s">
        <v>50</v>
      </c>
      <c r="E44" s="51" t="s">
        <v>51</v>
      </c>
      <c r="F44" s="408" t="s">
        <v>522</v>
      </c>
      <c r="G44" s="214">
        <v>5.32</v>
      </c>
      <c r="H44" s="66">
        <v>17697</v>
      </c>
      <c r="I44" s="200">
        <v>2</v>
      </c>
      <c r="J44" s="66">
        <f t="shared" si="18"/>
        <v>188296.08000000002</v>
      </c>
      <c r="K44" s="200">
        <f t="shared" si="20"/>
        <v>1</v>
      </c>
      <c r="L44" s="200">
        <f t="shared" si="6"/>
        <v>16</v>
      </c>
      <c r="M44" s="210"/>
      <c r="N44" s="66">
        <f t="shared" si="7"/>
        <v>0</v>
      </c>
      <c r="O44" s="210">
        <v>16</v>
      </c>
      <c r="P44" s="66">
        <f t="shared" si="8"/>
        <v>188296.08000000002</v>
      </c>
      <c r="Q44" s="396"/>
      <c r="R44" s="66">
        <f t="shared" si="9"/>
        <v>0</v>
      </c>
      <c r="S44" s="201">
        <f t="shared" si="10"/>
        <v>47074.020000000004</v>
      </c>
      <c r="T44" s="66">
        <f t="shared" si="11"/>
        <v>235370.10000000003</v>
      </c>
      <c r="U44" s="66">
        <f t="shared" si="12"/>
        <v>23537.010000000006</v>
      </c>
      <c r="V44" s="66">
        <f t="shared" si="13"/>
        <v>47074.020000000011</v>
      </c>
      <c r="W44" s="202"/>
      <c r="X44" s="66">
        <f t="shared" si="1"/>
        <v>0</v>
      </c>
      <c r="Y44" s="211"/>
      <c r="Z44" s="66">
        <f t="shared" si="2"/>
        <v>0</v>
      </c>
      <c r="AA44" s="211"/>
      <c r="AB44" s="66">
        <f t="shared" si="3"/>
        <v>0</v>
      </c>
      <c r="AC44" s="211"/>
      <c r="AD44" s="66">
        <f t="shared" si="14"/>
        <v>0</v>
      </c>
      <c r="AE44" s="212"/>
      <c r="AF44" s="212"/>
      <c r="AG44" s="66">
        <f t="shared" si="15"/>
        <v>70611.030000000013</v>
      </c>
      <c r="AH44" s="66"/>
      <c r="AI44" s="66">
        <f t="shared" si="4"/>
        <v>0</v>
      </c>
      <c r="AJ44" s="210"/>
      <c r="AK44" s="66">
        <f t="shared" si="5"/>
        <v>0</v>
      </c>
      <c r="AL44" s="210"/>
      <c r="AM44" s="210"/>
      <c r="AN44" s="213"/>
      <c r="AO44" s="202">
        <f t="shared" si="19"/>
        <v>94148.040000000023</v>
      </c>
      <c r="AP44" s="210"/>
      <c r="AQ44" s="66">
        <f t="shared" si="16"/>
        <v>470740.20000000013</v>
      </c>
      <c r="AR44" s="66">
        <f t="shared" si="17"/>
        <v>5648.8824000000013</v>
      </c>
    </row>
    <row r="45" spans="1:44" s="204" customFormat="1" ht="15" customHeight="1">
      <c r="A45" s="242">
        <v>23</v>
      </c>
      <c r="B45" s="62" t="s">
        <v>80</v>
      </c>
      <c r="C45" s="63" t="s">
        <v>65</v>
      </c>
      <c r="D45" s="64" t="s">
        <v>50</v>
      </c>
      <c r="E45" s="51" t="s">
        <v>51</v>
      </c>
      <c r="F45" s="408" t="s">
        <v>444</v>
      </c>
      <c r="G45" s="214">
        <v>5.41</v>
      </c>
      <c r="H45" s="66">
        <v>17697</v>
      </c>
      <c r="I45" s="200">
        <v>2</v>
      </c>
      <c r="J45" s="66">
        <f t="shared" si="18"/>
        <v>191481.54</v>
      </c>
      <c r="K45" s="200">
        <f t="shared" si="20"/>
        <v>1.1875</v>
      </c>
      <c r="L45" s="200">
        <f t="shared" si="6"/>
        <v>19</v>
      </c>
      <c r="M45" s="51"/>
      <c r="N45" s="66">
        <f t="shared" si="7"/>
        <v>0</v>
      </c>
      <c r="O45" s="396">
        <v>13</v>
      </c>
      <c r="P45" s="66">
        <f t="shared" si="8"/>
        <v>155578.75125</v>
      </c>
      <c r="Q45" s="396">
        <v>6</v>
      </c>
      <c r="R45" s="66">
        <f t="shared" si="9"/>
        <v>71805.577499999999</v>
      </c>
      <c r="S45" s="201">
        <f t="shared" si="10"/>
        <v>56846.082187499997</v>
      </c>
      <c r="T45" s="66">
        <f t="shared" si="11"/>
        <v>284230.41093749995</v>
      </c>
      <c r="U45" s="66">
        <f t="shared" si="12"/>
        <v>28423.041093749998</v>
      </c>
      <c r="V45" s="66">
        <f t="shared" si="13"/>
        <v>56846.082187499997</v>
      </c>
      <c r="W45" s="202"/>
      <c r="X45" s="66">
        <f t="shared" si="1"/>
        <v>0</v>
      </c>
      <c r="Y45" s="67"/>
      <c r="Z45" s="66">
        <f t="shared" si="2"/>
        <v>0</v>
      </c>
      <c r="AA45" s="67">
        <v>19</v>
      </c>
      <c r="AB45" s="66">
        <f t="shared" si="3"/>
        <v>8406.0750000000007</v>
      </c>
      <c r="AC45" s="67"/>
      <c r="AD45" s="66">
        <f t="shared" si="14"/>
        <v>0</v>
      </c>
      <c r="AE45" s="68"/>
      <c r="AF45" s="66"/>
      <c r="AG45" s="66">
        <f t="shared" si="15"/>
        <v>85269.12328124998</v>
      </c>
      <c r="AH45" s="66"/>
      <c r="AI45" s="66">
        <f t="shared" si="4"/>
        <v>0</v>
      </c>
      <c r="AJ45" s="203"/>
      <c r="AK45" s="66">
        <f t="shared" si="5"/>
        <v>0</v>
      </c>
      <c r="AL45" s="66">
        <v>3539</v>
      </c>
      <c r="AM45" s="66"/>
      <c r="AN45" s="66"/>
      <c r="AO45" s="202">
        <f t="shared" si="19"/>
        <v>113692.16437499999</v>
      </c>
      <c r="AP45" s="66"/>
      <c r="AQ45" s="66">
        <f t="shared" si="16"/>
        <v>580424.89687499986</v>
      </c>
      <c r="AR45" s="66">
        <f t="shared" si="17"/>
        <v>6965.098762499998</v>
      </c>
    </row>
    <row r="46" spans="1:44" s="204" customFormat="1" ht="15" customHeight="1">
      <c r="A46" s="51">
        <v>24</v>
      </c>
      <c r="B46" s="62" t="s">
        <v>81</v>
      </c>
      <c r="C46" s="63" t="s">
        <v>82</v>
      </c>
      <c r="D46" s="64" t="s">
        <v>50</v>
      </c>
      <c r="E46" s="51" t="s">
        <v>51</v>
      </c>
      <c r="F46" s="408" t="s">
        <v>523</v>
      </c>
      <c r="G46" s="214">
        <v>5.41</v>
      </c>
      <c r="H46" s="66">
        <v>17697</v>
      </c>
      <c r="I46" s="200">
        <v>2</v>
      </c>
      <c r="J46" s="66">
        <f t="shared" si="18"/>
        <v>191481.54</v>
      </c>
      <c r="K46" s="200">
        <f t="shared" si="20"/>
        <v>0.375</v>
      </c>
      <c r="L46" s="200">
        <f t="shared" si="6"/>
        <v>6</v>
      </c>
      <c r="M46" s="51">
        <v>3</v>
      </c>
      <c r="N46" s="66">
        <f t="shared" si="7"/>
        <v>35902.78875</v>
      </c>
      <c r="O46" s="396">
        <v>2</v>
      </c>
      <c r="P46" s="66">
        <f t="shared" si="8"/>
        <v>23935.192500000001</v>
      </c>
      <c r="Q46" s="396">
        <v>1</v>
      </c>
      <c r="R46" s="66">
        <f t="shared" si="9"/>
        <v>11967.596250000001</v>
      </c>
      <c r="S46" s="201">
        <f t="shared" si="10"/>
        <v>17951.394375</v>
      </c>
      <c r="T46" s="66">
        <f t="shared" si="11"/>
        <v>89756.971875000003</v>
      </c>
      <c r="U46" s="66">
        <f t="shared" si="12"/>
        <v>8975.6971874999999</v>
      </c>
      <c r="V46" s="66">
        <f t="shared" si="13"/>
        <v>17951.394375</v>
      </c>
      <c r="W46" s="202"/>
      <c r="X46" s="66">
        <f t="shared" si="1"/>
        <v>0</v>
      </c>
      <c r="Y46" s="67"/>
      <c r="Z46" s="66">
        <f t="shared" si="2"/>
        <v>0</v>
      </c>
      <c r="AA46" s="67"/>
      <c r="AB46" s="66">
        <f t="shared" si="3"/>
        <v>0</v>
      </c>
      <c r="AC46" s="67"/>
      <c r="AD46" s="66">
        <f t="shared" si="14"/>
        <v>0</v>
      </c>
      <c r="AE46" s="68"/>
      <c r="AF46" s="66"/>
      <c r="AG46" s="66">
        <f t="shared" si="15"/>
        <v>26927.091562500002</v>
      </c>
      <c r="AH46" s="66">
        <v>1</v>
      </c>
      <c r="AI46" s="66">
        <f t="shared" si="4"/>
        <v>221.21250000000001</v>
      </c>
      <c r="AJ46" s="203"/>
      <c r="AK46" s="66">
        <f t="shared" si="5"/>
        <v>0</v>
      </c>
      <c r="AL46" s="66"/>
      <c r="AM46" s="66"/>
      <c r="AN46" s="66"/>
      <c r="AO46" s="202">
        <f t="shared" si="19"/>
        <v>35902.78875</v>
      </c>
      <c r="AP46" s="66"/>
      <c r="AQ46" s="66">
        <f t="shared" si="16"/>
        <v>179736.15625</v>
      </c>
      <c r="AR46" s="66">
        <f t="shared" si="17"/>
        <v>2156.8338749999998</v>
      </c>
    </row>
    <row r="47" spans="1:44" s="204" customFormat="1" ht="15" customHeight="1">
      <c r="A47" s="242">
        <v>25</v>
      </c>
      <c r="B47" s="62" t="s">
        <v>83</v>
      </c>
      <c r="C47" s="63" t="s">
        <v>53</v>
      </c>
      <c r="D47" s="64" t="s">
        <v>50</v>
      </c>
      <c r="E47" s="51" t="s">
        <v>51</v>
      </c>
      <c r="F47" s="408" t="s">
        <v>525</v>
      </c>
      <c r="G47" s="214">
        <v>5.16</v>
      </c>
      <c r="H47" s="66">
        <v>17697</v>
      </c>
      <c r="I47" s="200">
        <v>2</v>
      </c>
      <c r="J47" s="66">
        <f t="shared" si="18"/>
        <v>182633.04</v>
      </c>
      <c r="K47" s="200">
        <f t="shared" si="20"/>
        <v>1.0625</v>
      </c>
      <c r="L47" s="200">
        <f t="shared" si="6"/>
        <v>17</v>
      </c>
      <c r="M47" s="206">
        <v>17</v>
      </c>
      <c r="N47" s="66">
        <f t="shared" si="7"/>
        <v>194047.60500000001</v>
      </c>
      <c r="O47" s="203"/>
      <c r="P47" s="66">
        <f t="shared" si="8"/>
        <v>0</v>
      </c>
      <c r="Q47" s="203"/>
      <c r="R47" s="66">
        <f t="shared" si="9"/>
        <v>0</v>
      </c>
      <c r="S47" s="201">
        <f t="shared" si="10"/>
        <v>48511.901250000003</v>
      </c>
      <c r="T47" s="66">
        <f t="shared" si="11"/>
        <v>242559.50625000001</v>
      </c>
      <c r="U47" s="66">
        <f t="shared" si="12"/>
        <v>24255.950625000001</v>
      </c>
      <c r="V47" s="66">
        <f t="shared" si="13"/>
        <v>48511.901250000003</v>
      </c>
      <c r="W47" s="202">
        <v>1</v>
      </c>
      <c r="X47" s="66">
        <f t="shared" si="1"/>
        <v>8848.5</v>
      </c>
      <c r="Y47" s="207"/>
      <c r="Z47" s="66">
        <f t="shared" si="2"/>
        <v>0</v>
      </c>
      <c r="AA47" s="206">
        <v>16</v>
      </c>
      <c r="AB47" s="66">
        <f t="shared" si="3"/>
        <v>7078.8</v>
      </c>
      <c r="AC47" s="207"/>
      <c r="AD47" s="66">
        <f t="shared" si="14"/>
        <v>0</v>
      </c>
      <c r="AE47" s="50"/>
      <c r="AF47" s="50"/>
      <c r="AG47" s="66">
        <f t="shared" si="15"/>
        <v>72767.851874999993</v>
      </c>
      <c r="AH47" s="66"/>
      <c r="AI47" s="66">
        <f t="shared" si="4"/>
        <v>0</v>
      </c>
      <c r="AJ47" s="426"/>
      <c r="AK47" s="66">
        <f t="shared" si="5"/>
        <v>0</v>
      </c>
      <c r="AL47" s="208"/>
      <c r="AM47" s="201"/>
      <c r="AN47" s="201"/>
      <c r="AO47" s="202">
        <f t="shared" si="19"/>
        <v>97023.802500000005</v>
      </c>
      <c r="AP47" s="201"/>
      <c r="AQ47" s="66">
        <f t="shared" si="16"/>
        <v>501063.3125</v>
      </c>
      <c r="AR47" s="66">
        <f t="shared" si="17"/>
        <v>6012.7597500000002</v>
      </c>
    </row>
    <row r="48" spans="1:44" s="204" customFormat="1" ht="15" customHeight="1">
      <c r="A48" s="51">
        <v>26</v>
      </c>
      <c r="B48" s="62" t="s">
        <v>84</v>
      </c>
      <c r="C48" s="63" t="s">
        <v>85</v>
      </c>
      <c r="D48" s="64" t="s">
        <v>50</v>
      </c>
      <c r="E48" s="51" t="s">
        <v>51</v>
      </c>
      <c r="F48" s="408" t="s">
        <v>511</v>
      </c>
      <c r="G48" s="214">
        <v>5.24</v>
      </c>
      <c r="H48" s="66">
        <v>17697</v>
      </c>
      <c r="I48" s="200">
        <v>2</v>
      </c>
      <c r="J48" s="66">
        <f t="shared" si="18"/>
        <v>185464.56</v>
      </c>
      <c r="K48" s="200">
        <f t="shared" si="20"/>
        <v>1.0625</v>
      </c>
      <c r="L48" s="200">
        <f t="shared" si="6"/>
        <v>17</v>
      </c>
      <c r="M48" s="426"/>
      <c r="N48" s="66">
        <f t="shared" si="7"/>
        <v>0</v>
      </c>
      <c r="O48" s="69">
        <v>9</v>
      </c>
      <c r="P48" s="66">
        <f t="shared" si="8"/>
        <v>104323.815</v>
      </c>
      <c r="Q48" s="69">
        <v>8</v>
      </c>
      <c r="R48" s="66">
        <f t="shared" si="9"/>
        <v>92732.28</v>
      </c>
      <c r="S48" s="201">
        <f t="shared" si="10"/>
        <v>49264.02375</v>
      </c>
      <c r="T48" s="66">
        <f t="shared" si="11"/>
        <v>246320.11874999999</v>
      </c>
      <c r="U48" s="66">
        <f t="shared" si="12"/>
        <v>24632.011875</v>
      </c>
      <c r="V48" s="66">
        <f t="shared" si="13"/>
        <v>49264.02375</v>
      </c>
      <c r="W48" s="202"/>
      <c r="X48" s="66">
        <f t="shared" si="1"/>
        <v>0</v>
      </c>
      <c r="Y48" s="207"/>
      <c r="Z48" s="66">
        <f t="shared" si="2"/>
        <v>0</v>
      </c>
      <c r="AA48" s="206">
        <v>16</v>
      </c>
      <c r="AB48" s="66">
        <f t="shared" si="3"/>
        <v>7078.8</v>
      </c>
      <c r="AC48" s="207"/>
      <c r="AD48" s="66">
        <f t="shared" si="14"/>
        <v>0</v>
      </c>
      <c r="AE48" s="66"/>
      <c r="AF48" s="66">
        <v>17697</v>
      </c>
      <c r="AG48" s="66">
        <f t="shared" si="15"/>
        <v>73896.03562499999</v>
      </c>
      <c r="AH48" s="66"/>
      <c r="AI48" s="66">
        <f t="shared" si="4"/>
        <v>0</v>
      </c>
      <c r="AJ48" s="426"/>
      <c r="AK48" s="66">
        <f t="shared" si="5"/>
        <v>0</v>
      </c>
      <c r="AL48" s="69">
        <v>3539</v>
      </c>
      <c r="AM48" s="69"/>
      <c r="AN48" s="69"/>
      <c r="AO48" s="202">
        <f t="shared" si="19"/>
        <v>98528.047500000001</v>
      </c>
      <c r="AP48" s="69"/>
      <c r="AQ48" s="66">
        <f t="shared" si="16"/>
        <v>520971.03749999998</v>
      </c>
      <c r="AR48" s="66">
        <f t="shared" si="17"/>
        <v>6251.6524499999996</v>
      </c>
    </row>
    <row r="49" spans="1:44" s="204" customFormat="1" ht="15" customHeight="1">
      <c r="A49" s="51">
        <v>27</v>
      </c>
      <c r="B49" s="62" t="s">
        <v>86</v>
      </c>
      <c r="C49" s="63" t="s">
        <v>87</v>
      </c>
      <c r="D49" s="64" t="s">
        <v>50</v>
      </c>
      <c r="E49" s="51" t="s">
        <v>51</v>
      </c>
      <c r="F49" s="408" t="s">
        <v>526</v>
      </c>
      <c r="G49" s="214">
        <v>5.41</v>
      </c>
      <c r="H49" s="66">
        <v>17697</v>
      </c>
      <c r="I49" s="200">
        <v>2</v>
      </c>
      <c r="J49" s="66">
        <f t="shared" si="18"/>
        <v>191481.54</v>
      </c>
      <c r="K49" s="200">
        <f t="shared" si="20"/>
        <v>1</v>
      </c>
      <c r="L49" s="200">
        <f t="shared" si="6"/>
        <v>16</v>
      </c>
      <c r="M49" s="426"/>
      <c r="N49" s="66">
        <f t="shared" si="7"/>
        <v>0</v>
      </c>
      <c r="O49" s="69">
        <v>16</v>
      </c>
      <c r="P49" s="66">
        <f t="shared" si="8"/>
        <v>191481.54</v>
      </c>
      <c r="Q49" s="397"/>
      <c r="R49" s="66">
        <f t="shared" si="9"/>
        <v>0</v>
      </c>
      <c r="S49" s="201">
        <f t="shared" si="10"/>
        <v>47870.385000000002</v>
      </c>
      <c r="T49" s="66">
        <f t="shared" si="11"/>
        <v>239351.92500000002</v>
      </c>
      <c r="U49" s="66">
        <f t="shared" si="12"/>
        <v>23935.192500000005</v>
      </c>
      <c r="V49" s="66">
        <f t="shared" si="13"/>
        <v>47870.385000000009</v>
      </c>
      <c r="W49" s="202"/>
      <c r="X49" s="66">
        <f t="shared" si="1"/>
        <v>0</v>
      </c>
      <c r="Y49" s="207"/>
      <c r="Z49" s="66">
        <f t="shared" si="2"/>
        <v>0</v>
      </c>
      <c r="AA49" s="207"/>
      <c r="AB49" s="66">
        <f t="shared" si="3"/>
        <v>0</v>
      </c>
      <c r="AC49" s="207"/>
      <c r="AD49" s="66">
        <f t="shared" si="14"/>
        <v>0</v>
      </c>
      <c r="AE49" s="66"/>
      <c r="AF49" s="50"/>
      <c r="AG49" s="66">
        <f t="shared" si="15"/>
        <v>71805.577499999999</v>
      </c>
      <c r="AH49" s="66"/>
      <c r="AI49" s="66">
        <f t="shared" si="4"/>
        <v>0</v>
      </c>
      <c r="AJ49" s="426"/>
      <c r="AK49" s="66">
        <f t="shared" si="5"/>
        <v>0</v>
      </c>
      <c r="AL49" s="426"/>
      <c r="AM49" s="69"/>
      <c r="AN49" s="69"/>
      <c r="AO49" s="202">
        <f t="shared" si="19"/>
        <v>95740.770000000019</v>
      </c>
      <c r="AP49" s="69"/>
      <c r="AQ49" s="66">
        <f t="shared" si="16"/>
        <v>478703.85000000009</v>
      </c>
      <c r="AR49" s="66">
        <f t="shared" si="17"/>
        <v>5744.4462000000012</v>
      </c>
    </row>
    <row r="50" spans="1:44" s="204" customFormat="1" ht="15" customHeight="1">
      <c r="A50" s="51">
        <v>28</v>
      </c>
      <c r="B50" s="62" t="s">
        <v>88</v>
      </c>
      <c r="C50" s="63" t="s">
        <v>67</v>
      </c>
      <c r="D50" s="64" t="s">
        <v>50</v>
      </c>
      <c r="E50" s="51" t="s">
        <v>51</v>
      </c>
      <c r="F50" s="408" t="s">
        <v>527</v>
      </c>
      <c r="G50" s="214">
        <v>5.32</v>
      </c>
      <c r="H50" s="66">
        <v>17697</v>
      </c>
      <c r="I50" s="200">
        <v>2</v>
      </c>
      <c r="J50" s="66">
        <f t="shared" si="18"/>
        <v>188296.08000000002</v>
      </c>
      <c r="K50" s="200">
        <f t="shared" si="20"/>
        <v>1.125</v>
      </c>
      <c r="L50" s="200">
        <f t="shared" si="6"/>
        <v>18</v>
      </c>
      <c r="M50" s="210"/>
      <c r="N50" s="66">
        <f t="shared" si="7"/>
        <v>0</v>
      </c>
      <c r="O50" s="210">
        <v>18</v>
      </c>
      <c r="P50" s="66">
        <f t="shared" si="8"/>
        <v>211833.09000000003</v>
      </c>
      <c r="Q50" s="210"/>
      <c r="R50" s="66">
        <f t="shared" si="9"/>
        <v>0</v>
      </c>
      <c r="S50" s="201">
        <f t="shared" si="10"/>
        <v>52958.272500000006</v>
      </c>
      <c r="T50" s="66">
        <f t="shared" si="11"/>
        <v>264791.36250000005</v>
      </c>
      <c r="U50" s="66">
        <f t="shared" si="12"/>
        <v>26479.136250000007</v>
      </c>
      <c r="V50" s="66">
        <f t="shared" si="13"/>
        <v>52958.272500000014</v>
      </c>
      <c r="W50" s="202"/>
      <c r="X50" s="66">
        <f t="shared" si="1"/>
        <v>0</v>
      </c>
      <c r="Y50" s="211">
        <v>1</v>
      </c>
      <c r="Z50" s="66">
        <f t="shared" si="2"/>
        <v>10618.199999999999</v>
      </c>
      <c r="AA50" s="211"/>
      <c r="AB50" s="66">
        <f t="shared" si="3"/>
        <v>0</v>
      </c>
      <c r="AC50" s="211">
        <v>18</v>
      </c>
      <c r="AD50" s="66">
        <f t="shared" si="14"/>
        <v>9954.5625</v>
      </c>
      <c r="AE50" s="212"/>
      <c r="AF50" s="212"/>
      <c r="AG50" s="66">
        <f t="shared" si="15"/>
        <v>79437.408750000017</v>
      </c>
      <c r="AH50" s="66">
        <v>18</v>
      </c>
      <c r="AI50" s="66">
        <f t="shared" si="4"/>
        <v>3981.8250000000003</v>
      </c>
      <c r="AJ50" s="210"/>
      <c r="AK50" s="66">
        <f t="shared" si="5"/>
        <v>0</v>
      </c>
      <c r="AL50" s="210">
        <v>3539</v>
      </c>
      <c r="AM50" s="210"/>
      <c r="AN50" s="210"/>
      <c r="AO50" s="202">
        <f t="shared" si="19"/>
        <v>105916.54500000003</v>
      </c>
      <c r="AP50" s="210"/>
      <c r="AQ50" s="66">
        <f t="shared" si="16"/>
        <v>557713.31250000012</v>
      </c>
      <c r="AR50" s="66">
        <f t="shared" si="17"/>
        <v>6692.5597500000022</v>
      </c>
    </row>
    <row r="51" spans="1:44" s="204" customFormat="1" ht="15" customHeight="1">
      <c r="A51" s="242">
        <v>29</v>
      </c>
      <c r="B51" s="62" t="s">
        <v>89</v>
      </c>
      <c r="C51" s="63" t="s">
        <v>53</v>
      </c>
      <c r="D51" s="64" t="s">
        <v>50</v>
      </c>
      <c r="E51" s="51" t="s">
        <v>51</v>
      </c>
      <c r="F51" s="409" t="s">
        <v>528</v>
      </c>
      <c r="G51" s="214">
        <v>5.24</v>
      </c>
      <c r="H51" s="66">
        <v>17697</v>
      </c>
      <c r="I51" s="200">
        <v>2</v>
      </c>
      <c r="J51" s="66">
        <f t="shared" si="18"/>
        <v>185464.56</v>
      </c>
      <c r="K51" s="200">
        <f t="shared" si="20"/>
        <v>1.0625</v>
      </c>
      <c r="L51" s="200">
        <f t="shared" si="6"/>
        <v>17</v>
      </c>
      <c r="M51" s="210">
        <v>17</v>
      </c>
      <c r="N51" s="66">
        <f t="shared" si="7"/>
        <v>197056.095</v>
      </c>
      <c r="O51" s="398"/>
      <c r="P51" s="66">
        <f t="shared" si="8"/>
        <v>0</v>
      </c>
      <c r="Q51" s="398"/>
      <c r="R51" s="66">
        <f t="shared" si="9"/>
        <v>0</v>
      </c>
      <c r="S51" s="201">
        <f t="shared" si="10"/>
        <v>49264.02375</v>
      </c>
      <c r="T51" s="66">
        <f t="shared" si="11"/>
        <v>246320.11874999999</v>
      </c>
      <c r="U51" s="66">
        <f t="shared" si="12"/>
        <v>24632.011875</v>
      </c>
      <c r="V51" s="66">
        <f t="shared" si="13"/>
        <v>49264.02375</v>
      </c>
      <c r="W51" s="202">
        <v>1</v>
      </c>
      <c r="X51" s="66">
        <f t="shared" si="1"/>
        <v>8848.5</v>
      </c>
      <c r="Y51" s="211"/>
      <c r="Z51" s="66">
        <f t="shared" si="2"/>
        <v>0</v>
      </c>
      <c r="AA51" s="211">
        <v>16</v>
      </c>
      <c r="AB51" s="66">
        <f t="shared" si="3"/>
        <v>7078.8</v>
      </c>
      <c r="AC51" s="211"/>
      <c r="AD51" s="66">
        <f t="shared" si="14"/>
        <v>0</v>
      </c>
      <c r="AE51" s="212"/>
      <c r="AF51" s="212"/>
      <c r="AG51" s="66">
        <f t="shared" si="15"/>
        <v>73896.03562499999</v>
      </c>
      <c r="AH51" s="66"/>
      <c r="AI51" s="66">
        <f t="shared" si="4"/>
        <v>0</v>
      </c>
      <c r="AJ51" s="210"/>
      <c r="AK51" s="66">
        <f t="shared" si="5"/>
        <v>0</v>
      </c>
      <c r="AL51" s="210"/>
      <c r="AM51" s="210"/>
      <c r="AN51" s="210"/>
      <c r="AO51" s="202">
        <f t="shared" si="19"/>
        <v>98528.047500000001</v>
      </c>
      <c r="AP51" s="210"/>
      <c r="AQ51" s="66">
        <f t="shared" si="16"/>
        <v>508584.53749999998</v>
      </c>
      <c r="AR51" s="66">
        <f t="shared" si="17"/>
        <v>6103.0144499999997</v>
      </c>
    </row>
    <row r="52" spans="1:44" s="204" customFormat="1" ht="15" customHeight="1">
      <c r="A52" s="51">
        <v>30</v>
      </c>
      <c r="B52" s="62" t="s">
        <v>90</v>
      </c>
      <c r="C52" s="63" t="s">
        <v>53</v>
      </c>
      <c r="D52" s="64" t="s">
        <v>50</v>
      </c>
      <c r="E52" s="51" t="s">
        <v>51</v>
      </c>
      <c r="F52" s="409" t="s">
        <v>529</v>
      </c>
      <c r="G52" s="214">
        <v>5.41</v>
      </c>
      <c r="H52" s="66">
        <v>17697</v>
      </c>
      <c r="I52" s="200">
        <v>2</v>
      </c>
      <c r="J52" s="66">
        <f t="shared" si="18"/>
        <v>191481.54</v>
      </c>
      <c r="K52" s="200">
        <f t="shared" si="20"/>
        <v>1.0625</v>
      </c>
      <c r="L52" s="200">
        <f t="shared" si="6"/>
        <v>17</v>
      </c>
      <c r="M52" s="210">
        <v>17</v>
      </c>
      <c r="N52" s="66">
        <f t="shared" si="7"/>
        <v>203449.13625000001</v>
      </c>
      <c r="O52" s="398"/>
      <c r="P52" s="66">
        <f t="shared" si="8"/>
        <v>0</v>
      </c>
      <c r="Q52" s="398"/>
      <c r="R52" s="66">
        <f t="shared" si="9"/>
        <v>0</v>
      </c>
      <c r="S52" s="201">
        <f t="shared" si="10"/>
        <v>50862.284062500003</v>
      </c>
      <c r="T52" s="66">
        <f t="shared" si="11"/>
        <v>254311.42031250001</v>
      </c>
      <c r="U52" s="66">
        <f t="shared" si="12"/>
        <v>25431.142031250001</v>
      </c>
      <c r="V52" s="66">
        <f t="shared" si="13"/>
        <v>50862.284062500003</v>
      </c>
      <c r="W52" s="202">
        <v>1</v>
      </c>
      <c r="X52" s="66">
        <f t="shared" si="1"/>
        <v>8848.5</v>
      </c>
      <c r="Y52" s="211"/>
      <c r="Z52" s="66">
        <f t="shared" si="2"/>
        <v>0</v>
      </c>
      <c r="AA52" s="211">
        <v>16</v>
      </c>
      <c r="AB52" s="66">
        <f t="shared" si="3"/>
        <v>7078.8</v>
      </c>
      <c r="AC52" s="211"/>
      <c r="AD52" s="66">
        <f t="shared" si="14"/>
        <v>0</v>
      </c>
      <c r="AE52" s="212"/>
      <c r="AF52" s="212"/>
      <c r="AG52" s="66">
        <f t="shared" si="15"/>
        <v>76293.426093749993</v>
      </c>
      <c r="AH52" s="66"/>
      <c r="AI52" s="66">
        <f t="shared" si="4"/>
        <v>0</v>
      </c>
      <c r="AJ52" s="210"/>
      <c r="AK52" s="66">
        <f t="shared" si="5"/>
        <v>0</v>
      </c>
      <c r="AL52" s="210"/>
      <c r="AM52" s="210"/>
      <c r="AN52" s="210"/>
      <c r="AO52" s="202">
        <f t="shared" si="19"/>
        <v>101724.56812500001</v>
      </c>
      <c r="AP52" s="210"/>
      <c r="AQ52" s="66">
        <f t="shared" si="16"/>
        <v>524567.140625</v>
      </c>
      <c r="AR52" s="66">
        <f t="shared" si="17"/>
        <v>6294.8056875000002</v>
      </c>
    </row>
    <row r="53" spans="1:44" s="204" customFormat="1" ht="15" customHeight="1">
      <c r="A53" s="242">
        <v>31</v>
      </c>
      <c r="B53" s="62" t="s">
        <v>91</v>
      </c>
      <c r="C53" s="63" t="s">
        <v>53</v>
      </c>
      <c r="D53" s="64" t="s">
        <v>50</v>
      </c>
      <c r="E53" s="51" t="s">
        <v>51</v>
      </c>
      <c r="F53" s="408" t="s">
        <v>530</v>
      </c>
      <c r="G53" s="214">
        <v>5.41</v>
      </c>
      <c r="H53" s="66">
        <v>17697</v>
      </c>
      <c r="I53" s="200">
        <v>2</v>
      </c>
      <c r="J53" s="66">
        <f t="shared" si="18"/>
        <v>191481.54</v>
      </c>
      <c r="K53" s="200">
        <f t="shared" si="20"/>
        <v>1.125</v>
      </c>
      <c r="L53" s="200">
        <f t="shared" si="6"/>
        <v>18</v>
      </c>
      <c r="M53" s="210">
        <v>18</v>
      </c>
      <c r="N53" s="66">
        <f t="shared" si="7"/>
        <v>215416.73250000001</v>
      </c>
      <c r="O53" s="398"/>
      <c r="P53" s="66">
        <f t="shared" si="8"/>
        <v>0</v>
      </c>
      <c r="Q53" s="398"/>
      <c r="R53" s="66">
        <f t="shared" si="9"/>
        <v>0</v>
      </c>
      <c r="S53" s="201">
        <f t="shared" si="10"/>
        <v>53854.183125000003</v>
      </c>
      <c r="T53" s="66">
        <f t="shared" si="11"/>
        <v>269270.91562500002</v>
      </c>
      <c r="U53" s="66">
        <f t="shared" si="12"/>
        <v>26927.091562500005</v>
      </c>
      <c r="V53" s="66">
        <f t="shared" si="13"/>
        <v>53854.18312500001</v>
      </c>
      <c r="W53" s="202">
        <v>1</v>
      </c>
      <c r="X53" s="66">
        <f t="shared" si="1"/>
        <v>8848.5</v>
      </c>
      <c r="Y53" s="211"/>
      <c r="Z53" s="66">
        <f t="shared" si="2"/>
        <v>0</v>
      </c>
      <c r="AA53" s="211">
        <v>18</v>
      </c>
      <c r="AB53" s="66">
        <f t="shared" si="3"/>
        <v>7963.6500000000005</v>
      </c>
      <c r="AC53" s="211"/>
      <c r="AD53" s="66">
        <f t="shared" si="14"/>
        <v>0</v>
      </c>
      <c r="AE53" s="212"/>
      <c r="AF53" s="212"/>
      <c r="AG53" s="66">
        <f t="shared" si="15"/>
        <v>80781.274687500001</v>
      </c>
      <c r="AH53" s="66">
        <v>11</v>
      </c>
      <c r="AI53" s="66">
        <f t="shared" si="4"/>
        <v>2433.3375000000001</v>
      </c>
      <c r="AJ53" s="210"/>
      <c r="AK53" s="66">
        <f t="shared" si="5"/>
        <v>0</v>
      </c>
      <c r="AL53" s="210"/>
      <c r="AM53" s="210"/>
      <c r="AN53" s="213"/>
      <c r="AO53" s="202">
        <f t="shared" si="19"/>
        <v>107708.36625000002</v>
      </c>
      <c r="AP53" s="210"/>
      <c r="AQ53" s="66">
        <f t="shared" si="16"/>
        <v>557817.31875000009</v>
      </c>
      <c r="AR53" s="66">
        <f t="shared" si="17"/>
        <v>6693.8078250000008</v>
      </c>
    </row>
    <row r="54" spans="1:44" s="204" customFormat="1" ht="15" customHeight="1">
      <c r="A54" s="51">
        <v>32</v>
      </c>
      <c r="B54" s="63" t="s">
        <v>92</v>
      </c>
      <c r="C54" s="63" t="s">
        <v>71</v>
      </c>
      <c r="D54" s="64" t="s">
        <v>50</v>
      </c>
      <c r="E54" s="51" t="s">
        <v>51</v>
      </c>
      <c r="F54" s="408" t="s">
        <v>527</v>
      </c>
      <c r="G54" s="214">
        <v>5.32</v>
      </c>
      <c r="H54" s="66">
        <v>17697</v>
      </c>
      <c r="I54" s="200">
        <v>2</v>
      </c>
      <c r="J54" s="66">
        <f t="shared" si="18"/>
        <v>188296.08000000002</v>
      </c>
      <c r="K54" s="200">
        <f t="shared" si="20"/>
        <v>1.3125</v>
      </c>
      <c r="L54" s="200">
        <f t="shared" si="6"/>
        <v>21</v>
      </c>
      <c r="M54" s="210"/>
      <c r="N54" s="66">
        <f t="shared" si="7"/>
        <v>0</v>
      </c>
      <c r="O54" s="210">
        <v>5</v>
      </c>
      <c r="P54" s="66">
        <f t="shared" si="8"/>
        <v>58842.525000000009</v>
      </c>
      <c r="Q54" s="210">
        <v>16</v>
      </c>
      <c r="R54" s="66">
        <f t="shared" si="9"/>
        <v>188296.08000000002</v>
      </c>
      <c r="S54" s="201">
        <f t="shared" si="10"/>
        <v>61784.65125000001</v>
      </c>
      <c r="T54" s="66">
        <f t="shared" si="11"/>
        <v>308923.25625000003</v>
      </c>
      <c r="U54" s="66">
        <f t="shared" si="12"/>
        <v>30892.325625000005</v>
      </c>
      <c r="V54" s="66">
        <f t="shared" si="13"/>
        <v>61784.65125000001</v>
      </c>
      <c r="W54" s="202"/>
      <c r="X54" s="66">
        <f t="shared" si="1"/>
        <v>0</v>
      </c>
      <c r="Y54" s="211"/>
      <c r="Z54" s="66">
        <f t="shared" si="2"/>
        <v>0</v>
      </c>
      <c r="AA54" s="211">
        <v>21</v>
      </c>
      <c r="AB54" s="66">
        <f t="shared" si="3"/>
        <v>9290.9250000000011</v>
      </c>
      <c r="AC54" s="211"/>
      <c r="AD54" s="66">
        <f t="shared" si="14"/>
        <v>0</v>
      </c>
      <c r="AE54" s="212">
        <v>34500</v>
      </c>
      <c r="AF54" s="212"/>
      <c r="AG54" s="66">
        <f t="shared" si="15"/>
        <v>92676.976875000008</v>
      </c>
      <c r="AH54" s="66"/>
      <c r="AI54" s="66">
        <f t="shared" si="4"/>
        <v>0</v>
      </c>
      <c r="AJ54" s="210"/>
      <c r="AK54" s="66">
        <f t="shared" si="5"/>
        <v>0</v>
      </c>
      <c r="AL54" s="210"/>
      <c r="AM54" s="210"/>
      <c r="AN54" s="213"/>
      <c r="AO54" s="202">
        <f t="shared" si="19"/>
        <v>123569.30250000002</v>
      </c>
      <c r="AP54" s="210"/>
      <c r="AQ54" s="66">
        <f t="shared" si="16"/>
        <v>661658.4375</v>
      </c>
      <c r="AR54" s="66">
        <f t="shared" si="17"/>
        <v>7939.9012499999999</v>
      </c>
    </row>
    <row r="55" spans="1:44" s="204" customFormat="1" ht="15" customHeight="1">
      <c r="A55" s="51">
        <v>33</v>
      </c>
      <c r="B55" s="62" t="s">
        <v>93</v>
      </c>
      <c r="C55" s="63" t="s">
        <v>87</v>
      </c>
      <c r="D55" s="64" t="s">
        <v>50</v>
      </c>
      <c r="E55" s="51" t="s">
        <v>51</v>
      </c>
      <c r="F55" s="408" t="s">
        <v>444</v>
      </c>
      <c r="G55" s="214">
        <v>5.41</v>
      </c>
      <c r="H55" s="66">
        <v>17697</v>
      </c>
      <c r="I55" s="200">
        <v>2</v>
      </c>
      <c r="J55" s="66">
        <f t="shared" si="18"/>
        <v>191481.54</v>
      </c>
      <c r="K55" s="200">
        <f t="shared" si="20"/>
        <v>1.125</v>
      </c>
      <c r="L55" s="200">
        <f t="shared" si="6"/>
        <v>18</v>
      </c>
      <c r="M55" s="51"/>
      <c r="N55" s="66">
        <f t="shared" si="7"/>
        <v>0</v>
      </c>
      <c r="O55" s="396">
        <v>13</v>
      </c>
      <c r="P55" s="66">
        <f t="shared" si="8"/>
        <v>155578.75125</v>
      </c>
      <c r="Q55" s="396">
        <v>5</v>
      </c>
      <c r="R55" s="66">
        <f t="shared" si="9"/>
        <v>59837.981250000004</v>
      </c>
      <c r="S55" s="201">
        <f t="shared" si="10"/>
        <v>53854.183125000003</v>
      </c>
      <c r="T55" s="66">
        <f t="shared" si="11"/>
        <v>269270.91562500002</v>
      </c>
      <c r="U55" s="66">
        <f t="shared" si="12"/>
        <v>26927.091562500005</v>
      </c>
      <c r="V55" s="66">
        <f t="shared" si="13"/>
        <v>53854.18312500001</v>
      </c>
      <c r="W55" s="202"/>
      <c r="X55" s="66">
        <f t="shared" si="1"/>
        <v>0</v>
      </c>
      <c r="Y55" s="67">
        <v>1</v>
      </c>
      <c r="Z55" s="66">
        <f t="shared" si="2"/>
        <v>10618.199999999999</v>
      </c>
      <c r="AA55" s="67"/>
      <c r="AB55" s="66">
        <f t="shared" si="3"/>
        <v>0</v>
      </c>
      <c r="AC55" s="67"/>
      <c r="AD55" s="66">
        <f t="shared" si="14"/>
        <v>0</v>
      </c>
      <c r="AE55" s="68"/>
      <c r="AF55" s="66"/>
      <c r="AG55" s="66">
        <f t="shared" si="15"/>
        <v>80781.274687500001</v>
      </c>
      <c r="AH55" s="66"/>
      <c r="AI55" s="66">
        <f t="shared" si="4"/>
        <v>0</v>
      </c>
      <c r="AJ55" s="203"/>
      <c r="AK55" s="66">
        <f t="shared" si="5"/>
        <v>0</v>
      </c>
      <c r="AL55" s="66"/>
      <c r="AM55" s="66"/>
      <c r="AN55" s="66"/>
      <c r="AO55" s="202">
        <f t="shared" si="19"/>
        <v>107708.36625000002</v>
      </c>
      <c r="AP55" s="66"/>
      <c r="AQ55" s="66">
        <f t="shared" si="16"/>
        <v>549161.03125</v>
      </c>
      <c r="AR55" s="66">
        <f t="shared" si="17"/>
        <v>6589.9323750000003</v>
      </c>
    </row>
    <row r="56" spans="1:44" s="204" customFormat="1" ht="15" customHeight="1">
      <c r="A56" s="51">
        <v>34</v>
      </c>
      <c r="B56" s="63" t="s">
        <v>95</v>
      </c>
      <c r="C56" s="63" t="s">
        <v>53</v>
      </c>
      <c r="D56" s="64" t="s">
        <v>50</v>
      </c>
      <c r="E56" s="51" t="s">
        <v>51</v>
      </c>
      <c r="F56" s="408" t="s">
        <v>526</v>
      </c>
      <c r="G56" s="214">
        <v>5.41</v>
      </c>
      <c r="H56" s="66">
        <v>17697</v>
      </c>
      <c r="I56" s="200">
        <v>2</v>
      </c>
      <c r="J56" s="66">
        <f t="shared" si="18"/>
        <v>191481.54</v>
      </c>
      <c r="K56" s="200">
        <f t="shared" si="20"/>
        <v>1.125</v>
      </c>
      <c r="L56" s="200">
        <f t="shared" si="6"/>
        <v>18</v>
      </c>
      <c r="M56" s="206">
        <v>18</v>
      </c>
      <c r="N56" s="66">
        <f t="shared" si="7"/>
        <v>215416.73250000001</v>
      </c>
      <c r="O56" s="203"/>
      <c r="P56" s="66">
        <f t="shared" si="8"/>
        <v>0</v>
      </c>
      <c r="Q56" s="203"/>
      <c r="R56" s="66">
        <f t="shared" si="9"/>
        <v>0</v>
      </c>
      <c r="S56" s="201">
        <f t="shared" si="10"/>
        <v>53854.183125000003</v>
      </c>
      <c r="T56" s="66">
        <f t="shared" si="11"/>
        <v>269270.91562500002</v>
      </c>
      <c r="U56" s="66">
        <f t="shared" si="12"/>
        <v>26927.091562500005</v>
      </c>
      <c r="V56" s="66">
        <f t="shared" si="13"/>
        <v>53854.18312500001</v>
      </c>
      <c r="W56" s="202">
        <v>1</v>
      </c>
      <c r="X56" s="66">
        <f t="shared" si="1"/>
        <v>8848.5</v>
      </c>
      <c r="Y56" s="207"/>
      <c r="Z56" s="66">
        <f t="shared" si="2"/>
        <v>0</v>
      </c>
      <c r="AA56" s="206">
        <v>18</v>
      </c>
      <c r="AB56" s="66">
        <f t="shared" si="3"/>
        <v>7963.6500000000005</v>
      </c>
      <c r="AC56" s="207"/>
      <c r="AD56" s="66">
        <f t="shared" si="14"/>
        <v>0</v>
      </c>
      <c r="AE56" s="50"/>
      <c r="AF56" s="50"/>
      <c r="AG56" s="66">
        <f t="shared" si="15"/>
        <v>80781.274687500001</v>
      </c>
      <c r="AH56" s="66">
        <v>11</v>
      </c>
      <c r="AI56" s="66">
        <f t="shared" si="4"/>
        <v>2433.3375000000001</v>
      </c>
      <c r="AJ56" s="426"/>
      <c r="AK56" s="66">
        <f t="shared" si="5"/>
        <v>0</v>
      </c>
      <c r="AL56" s="208"/>
      <c r="AM56" s="201"/>
      <c r="AN56" s="201"/>
      <c r="AO56" s="202">
        <f t="shared" si="19"/>
        <v>107708.36625000002</v>
      </c>
      <c r="AP56" s="201"/>
      <c r="AQ56" s="66">
        <f t="shared" si="16"/>
        <v>557817.31875000009</v>
      </c>
      <c r="AR56" s="66">
        <f t="shared" si="17"/>
        <v>6693.8078250000008</v>
      </c>
    </row>
    <row r="57" spans="1:44" s="204" customFormat="1" ht="15" customHeight="1">
      <c r="A57" s="242">
        <v>35</v>
      </c>
      <c r="B57" s="63" t="s">
        <v>96</v>
      </c>
      <c r="C57" s="63" t="s">
        <v>53</v>
      </c>
      <c r="D57" s="64" t="s">
        <v>50</v>
      </c>
      <c r="E57" s="51" t="s">
        <v>51</v>
      </c>
      <c r="F57" s="408" t="s">
        <v>513</v>
      </c>
      <c r="G57" s="214">
        <v>5.41</v>
      </c>
      <c r="H57" s="66">
        <v>17697</v>
      </c>
      <c r="I57" s="200">
        <v>2</v>
      </c>
      <c r="J57" s="66">
        <f t="shared" si="18"/>
        <v>191481.54</v>
      </c>
      <c r="K57" s="200">
        <f t="shared" si="20"/>
        <v>1.1875</v>
      </c>
      <c r="L57" s="200">
        <f t="shared" si="6"/>
        <v>19</v>
      </c>
      <c r="M57" s="69">
        <v>19</v>
      </c>
      <c r="N57" s="66">
        <f t="shared" si="7"/>
        <v>227384.32875000002</v>
      </c>
      <c r="O57" s="69"/>
      <c r="P57" s="66">
        <f t="shared" si="8"/>
        <v>0</v>
      </c>
      <c r="Q57" s="69"/>
      <c r="R57" s="66">
        <f t="shared" si="9"/>
        <v>0</v>
      </c>
      <c r="S57" s="201">
        <f t="shared" si="10"/>
        <v>56846.082187500004</v>
      </c>
      <c r="T57" s="66">
        <f t="shared" si="11"/>
        <v>284230.41093750001</v>
      </c>
      <c r="U57" s="66">
        <f t="shared" si="12"/>
        <v>28423.041093750002</v>
      </c>
      <c r="V57" s="66">
        <f t="shared" si="13"/>
        <v>56846.082187500004</v>
      </c>
      <c r="W57" s="202">
        <v>1</v>
      </c>
      <c r="X57" s="66">
        <f t="shared" si="1"/>
        <v>8848.5</v>
      </c>
      <c r="Y57" s="207"/>
      <c r="Z57" s="66">
        <f t="shared" si="2"/>
        <v>0</v>
      </c>
      <c r="AA57" s="206">
        <v>16</v>
      </c>
      <c r="AB57" s="66">
        <f t="shared" si="3"/>
        <v>7078.8</v>
      </c>
      <c r="AC57" s="207"/>
      <c r="AD57" s="66">
        <f t="shared" si="14"/>
        <v>0</v>
      </c>
      <c r="AE57" s="50"/>
      <c r="AF57" s="50"/>
      <c r="AG57" s="66">
        <f t="shared" si="15"/>
        <v>85269.123281249995</v>
      </c>
      <c r="AH57" s="66"/>
      <c r="AI57" s="66">
        <f t="shared" si="4"/>
        <v>0</v>
      </c>
      <c r="AJ57" s="426"/>
      <c r="AK57" s="66">
        <f t="shared" si="5"/>
        <v>0</v>
      </c>
      <c r="AL57" s="426"/>
      <c r="AM57" s="69"/>
      <c r="AN57" s="69"/>
      <c r="AO57" s="202">
        <f t="shared" si="19"/>
        <v>113692.16437500001</v>
      </c>
      <c r="AP57" s="69"/>
      <c r="AQ57" s="66">
        <f t="shared" si="16"/>
        <v>584405.12187500007</v>
      </c>
      <c r="AR57" s="66">
        <f t="shared" si="17"/>
        <v>7012.8614625</v>
      </c>
    </row>
    <row r="58" spans="1:44" s="204" customFormat="1" ht="15" customHeight="1">
      <c r="A58" s="51">
        <v>36</v>
      </c>
      <c r="B58" s="62" t="s">
        <v>97</v>
      </c>
      <c r="C58" s="63" t="s">
        <v>98</v>
      </c>
      <c r="D58" s="64" t="s">
        <v>50</v>
      </c>
      <c r="E58" s="51" t="s">
        <v>51</v>
      </c>
      <c r="F58" s="408" t="s">
        <v>523</v>
      </c>
      <c r="G58" s="214">
        <v>5.41</v>
      </c>
      <c r="H58" s="66">
        <v>17697</v>
      </c>
      <c r="I58" s="200">
        <v>2</v>
      </c>
      <c r="J58" s="66">
        <f t="shared" si="18"/>
        <v>191481.54</v>
      </c>
      <c r="K58" s="200">
        <f t="shared" si="20"/>
        <v>1.125</v>
      </c>
      <c r="L58" s="200">
        <f t="shared" si="6"/>
        <v>18</v>
      </c>
      <c r="M58" s="69">
        <v>3</v>
      </c>
      <c r="N58" s="66">
        <f t="shared" si="7"/>
        <v>35902.78875</v>
      </c>
      <c r="O58" s="210">
        <v>15</v>
      </c>
      <c r="P58" s="66">
        <f t="shared" si="8"/>
        <v>179513.94375000001</v>
      </c>
      <c r="Q58" s="210"/>
      <c r="R58" s="66">
        <f t="shared" si="9"/>
        <v>0</v>
      </c>
      <c r="S58" s="201">
        <f t="shared" si="10"/>
        <v>53854.183125000003</v>
      </c>
      <c r="T58" s="66">
        <f t="shared" si="11"/>
        <v>269270.91562500002</v>
      </c>
      <c r="U58" s="66">
        <f t="shared" si="12"/>
        <v>26927.091562500005</v>
      </c>
      <c r="V58" s="66">
        <f t="shared" si="13"/>
        <v>53854.18312500001</v>
      </c>
      <c r="W58" s="202"/>
      <c r="X58" s="66">
        <f t="shared" si="1"/>
        <v>0</v>
      </c>
      <c r="Y58" s="207"/>
      <c r="Z58" s="66">
        <f t="shared" si="2"/>
        <v>0</v>
      </c>
      <c r="AA58" s="207"/>
      <c r="AB58" s="66">
        <f t="shared" si="3"/>
        <v>0</v>
      </c>
      <c r="AC58" s="207"/>
      <c r="AD58" s="66">
        <f t="shared" si="14"/>
        <v>0</v>
      </c>
      <c r="AE58" s="50"/>
      <c r="AF58" s="50"/>
      <c r="AG58" s="66">
        <f t="shared" si="15"/>
        <v>80781.274687500001</v>
      </c>
      <c r="AH58" s="66"/>
      <c r="AI58" s="66">
        <f t="shared" si="4"/>
        <v>0</v>
      </c>
      <c r="AJ58" s="426"/>
      <c r="AK58" s="66">
        <f t="shared" si="5"/>
        <v>0</v>
      </c>
      <c r="AL58" s="426"/>
      <c r="AM58" s="69"/>
      <c r="AN58" s="69"/>
      <c r="AO58" s="201"/>
      <c r="AP58" s="69"/>
      <c r="AQ58" s="66">
        <f t="shared" si="16"/>
        <v>430833.46499999997</v>
      </c>
      <c r="AR58" s="66">
        <f t="shared" si="17"/>
        <v>5170.0015800000001</v>
      </c>
    </row>
    <row r="59" spans="1:44" s="204" customFormat="1" ht="15" customHeight="1">
      <c r="A59" s="242">
        <v>37</v>
      </c>
      <c r="B59" s="62" t="s">
        <v>99</v>
      </c>
      <c r="C59" s="63" t="s">
        <v>100</v>
      </c>
      <c r="D59" s="64" t="s">
        <v>50</v>
      </c>
      <c r="E59" s="51" t="s">
        <v>51</v>
      </c>
      <c r="F59" s="408" t="s">
        <v>526</v>
      </c>
      <c r="G59" s="214">
        <v>5.41</v>
      </c>
      <c r="H59" s="66">
        <v>17697</v>
      </c>
      <c r="I59" s="200">
        <v>2</v>
      </c>
      <c r="J59" s="66">
        <f t="shared" si="18"/>
        <v>191481.54</v>
      </c>
      <c r="K59" s="200">
        <f t="shared" si="20"/>
        <v>1.3125</v>
      </c>
      <c r="L59" s="200">
        <f t="shared" si="6"/>
        <v>21</v>
      </c>
      <c r="M59" s="426"/>
      <c r="N59" s="66">
        <f t="shared" si="7"/>
        <v>0</v>
      </c>
      <c r="O59" s="210">
        <v>14</v>
      </c>
      <c r="P59" s="66">
        <f t="shared" si="8"/>
        <v>167546.3475</v>
      </c>
      <c r="Q59" s="210">
        <v>7</v>
      </c>
      <c r="R59" s="66">
        <f t="shared" si="9"/>
        <v>83773.173750000002</v>
      </c>
      <c r="S59" s="201">
        <f t="shared" si="10"/>
        <v>62829.880312499998</v>
      </c>
      <c r="T59" s="66">
        <f t="shared" si="11"/>
        <v>314149.40156249999</v>
      </c>
      <c r="U59" s="66">
        <f t="shared" si="12"/>
        <v>31414.940156249999</v>
      </c>
      <c r="V59" s="66">
        <f t="shared" si="13"/>
        <v>62829.880312499998</v>
      </c>
      <c r="W59" s="202"/>
      <c r="X59" s="66">
        <f t="shared" si="1"/>
        <v>0</v>
      </c>
      <c r="Y59" s="207"/>
      <c r="Z59" s="66">
        <f t="shared" si="2"/>
        <v>0</v>
      </c>
      <c r="AA59" s="206">
        <v>21</v>
      </c>
      <c r="AB59" s="66">
        <f t="shared" si="3"/>
        <v>9290.9250000000011</v>
      </c>
      <c r="AC59" s="207"/>
      <c r="AD59" s="66">
        <f t="shared" si="14"/>
        <v>0</v>
      </c>
      <c r="AE59" s="50"/>
      <c r="AF59" s="50"/>
      <c r="AG59" s="66">
        <f t="shared" si="15"/>
        <v>94244.820468749997</v>
      </c>
      <c r="AH59" s="66"/>
      <c r="AI59" s="66">
        <f t="shared" si="4"/>
        <v>0</v>
      </c>
      <c r="AJ59" s="426"/>
      <c r="AK59" s="66">
        <f t="shared" si="5"/>
        <v>0</v>
      </c>
      <c r="AL59" s="69">
        <v>3539</v>
      </c>
      <c r="AM59" s="69"/>
      <c r="AN59" s="69"/>
      <c r="AO59" s="202">
        <f t="shared" si="19"/>
        <v>125659.760625</v>
      </c>
      <c r="AP59" s="201"/>
      <c r="AQ59" s="66">
        <f t="shared" si="16"/>
        <v>641149.72812499991</v>
      </c>
      <c r="AR59" s="66">
        <f t="shared" si="17"/>
        <v>7693.7967374999989</v>
      </c>
    </row>
    <row r="60" spans="1:44" s="204" customFormat="1" ht="15" customHeight="1">
      <c r="A60" s="51">
        <v>38</v>
      </c>
      <c r="B60" s="62" t="s">
        <v>101</v>
      </c>
      <c r="C60" s="63" t="s">
        <v>60</v>
      </c>
      <c r="D60" s="64" t="s">
        <v>50</v>
      </c>
      <c r="E60" s="51" t="s">
        <v>51</v>
      </c>
      <c r="F60" s="408" t="s">
        <v>531</v>
      </c>
      <c r="G60" s="214">
        <v>5.24</v>
      </c>
      <c r="H60" s="66">
        <v>17697</v>
      </c>
      <c r="I60" s="200">
        <v>2</v>
      </c>
      <c r="J60" s="66">
        <f t="shared" si="18"/>
        <v>185464.56</v>
      </c>
      <c r="K60" s="200">
        <f t="shared" si="20"/>
        <v>1.0625</v>
      </c>
      <c r="L60" s="200">
        <f t="shared" si="6"/>
        <v>17</v>
      </c>
      <c r="M60" s="210">
        <v>2</v>
      </c>
      <c r="N60" s="66">
        <f t="shared" si="7"/>
        <v>23183.07</v>
      </c>
      <c r="O60" s="210">
        <v>12</v>
      </c>
      <c r="P60" s="66">
        <f t="shared" si="8"/>
        <v>139098.41999999998</v>
      </c>
      <c r="Q60" s="210">
        <v>3</v>
      </c>
      <c r="R60" s="66">
        <f t="shared" si="9"/>
        <v>34774.604999999996</v>
      </c>
      <c r="S60" s="201">
        <f t="shared" si="10"/>
        <v>49264.023749999993</v>
      </c>
      <c r="T60" s="66">
        <f t="shared" si="11"/>
        <v>246320.11874999997</v>
      </c>
      <c r="U60" s="66">
        <f t="shared" si="12"/>
        <v>24632.011874999997</v>
      </c>
      <c r="V60" s="66">
        <f t="shared" si="13"/>
        <v>49264.023749999993</v>
      </c>
      <c r="W60" s="202"/>
      <c r="X60" s="66">
        <f t="shared" si="1"/>
        <v>0</v>
      </c>
      <c r="Y60" s="211">
        <v>1</v>
      </c>
      <c r="Z60" s="66">
        <f t="shared" si="2"/>
        <v>10618.199999999999</v>
      </c>
      <c r="AA60" s="211">
        <v>17</v>
      </c>
      <c r="AB60" s="66">
        <f t="shared" si="3"/>
        <v>7521.2250000000004</v>
      </c>
      <c r="AC60" s="211"/>
      <c r="AD60" s="66">
        <f t="shared" si="14"/>
        <v>0</v>
      </c>
      <c r="AE60" s="212"/>
      <c r="AF60" s="212"/>
      <c r="AG60" s="66">
        <f t="shared" si="15"/>
        <v>73896.03562499999</v>
      </c>
      <c r="AH60" s="66"/>
      <c r="AI60" s="66">
        <f t="shared" si="4"/>
        <v>0</v>
      </c>
      <c r="AJ60" s="210"/>
      <c r="AK60" s="66">
        <f t="shared" si="5"/>
        <v>0</v>
      </c>
      <c r="AL60" s="210"/>
      <c r="AM60" s="210"/>
      <c r="AN60" s="210"/>
      <c r="AO60" s="202">
        <f t="shared" si="19"/>
        <v>98528.047499999986</v>
      </c>
      <c r="AP60" s="210"/>
      <c r="AQ60" s="66">
        <f t="shared" si="16"/>
        <v>510797.66249999998</v>
      </c>
      <c r="AR60" s="66">
        <f t="shared" si="17"/>
        <v>6129.5719499999996</v>
      </c>
    </row>
    <row r="61" spans="1:44" s="252" customFormat="1" ht="15" customHeight="1">
      <c r="A61" s="51">
        <v>39</v>
      </c>
      <c r="B61" s="434" t="s">
        <v>199</v>
      </c>
      <c r="C61" s="248" t="s">
        <v>87</v>
      </c>
      <c r="D61" s="249" t="s">
        <v>50</v>
      </c>
      <c r="E61" s="247" t="s">
        <v>51</v>
      </c>
      <c r="F61" s="446" t="s">
        <v>532</v>
      </c>
      <c r="G61" s="200">
        <v>5.32</v>
      </c>
      <c r="H61" s="66">
        <v>17697</v>
      </c>
      <c r="I61" s="200">
        <v>2</v>
      </c>
      <c r="J61" s="66">
        <f t="shared" si="18"/>
        <v>188296.08000000002</v>
      </c>
      <c r="K61" s="200">
        <f t="shared" si="20"/>
        <v>0.5</v>
      </c>
      <c r="L61" s="200">
        <f t="shared" si="6"/>
        <v>8</v>
      </c>
      <c r="M61" s="251"/>
      <c r="N61" s="66">
        <f t="shared" si="7"/>
        <v>0</v>
      </c>
      <c r="O61" s="210">
        <v>6</v>
      </c>
      <c r="P61" s="66">
        <f t="shared" si="8"/>
        <v>70611.03</v>
      </c>
      <c r="Q61" s="210">
        <v>2</v>
      </c>
      <c r="R61" s="66">
        <f t="shared" si="9"/>
        <v>23537.010000000002</v>
      </c>
      <c r="S61" s="201">
        <f t="shared" si="10"/>
        <v>23537.010000000002</v>
      </c>
      <c r="T61" s="66">
        <f t="shared" si="11"/>
        <v>117685.05000000002</v>
      </c>
      <c r="U61" s="66">
        <f t="shared" si="12"/>
        <v>11768.505000000003</v>
      </c>
      <c r="V61" s="66">
        <f t="shared" si="13"/>
        <v>23537.010000000006</v>
      </c>
      <c r="W61" s="250"/>
      <c r="X61" s="66">
        <f t="shared" si="1"/>
        <v>0</v>
      </c>
      <c r="Y61" s="251"/>
      <c r="Z61" s="66">
        <f t="shared" si="2"/>
        <v>0</v>
      </c>
      <c r="AA61" s="251"/>
      <c r="AB61" s="66">
        <f t="shared" si="3"/>
        <v>0</v>
      </c>
      <c r="AC61" s="251"/>
      <c r="AD61" s="66">
        <f t="shared" si="14"/>
        <v>0</v>
      </c>
      <c r="AE61" s="251"/>
      <c r="AF61" s="251"/>
      <c r="AG61" s="66">
        <f t="shared" si="15"/>
        <v>35305.515000000007</v>
      </c>
      <c r="AH61" s="203"/>
      <c r="AI61" s="66">
        <f t="shared" si="4"/>
        <v>0</v>
      </c>
      <c r="AJ61" s="251"/>
      <c r="AK61" s="66">
        <f t="shared" si="5"/>
        <v>0</v>
      </c>
      <c r="AL61" s="251"/>
      <c r="AM61" s="251"/>
      <c r="AN61" s="251"/>
      <c r="AO61" s="202">
        <f t="shared" si="19"/>
        <v>47074.020000000011</v>
      </c>
      <c r="AP61" s="251"/>
      <c r="AQ61" s="66">
        <f t="shared" si="16"/>
        <v>235370.10000000006</v>
      </c>
      <c r="AR61" s="66">
        <f t="shared" si="17"/>
        <v>2824.4412000000007</v>
      </c>
    </row>
    <row r="62" spans="1:44" s="204" customFormat="1" ht="15" customHeight="1">
      <c r="A62" s="51">
        <v>40</v>
      </c>
      <c r="B62" s="62" t="s">
        <v>197</v>
      </c>
      <c r="C62" s="63" t="s">
        <v>87</v>
      </c>
      <c r="D62" s="64" t="s">
        <v>50</v>
      </c>
      <c r="E62" s="51" t="s">
        <v>51</v>
      </c>
      <c r="F62" s="408" t="s">
        <v>450</v>
      </c>
      <c r="G62" s="214">
        <v>5.32</v>
      </c>
      <c r="H62" s="66">
        <v>17697</v>
      </c>
      <c r="I62" s="200">
        <v>2</v>
      </c>
      <c r="J62" s="66">
        <f t="shared" si="18"/>
        <v>188296.08000000002</v>
      </c>
      <c r="K62" s="200">
        <f t="shared" si="20"/>
        <v>0.5</v>
      </c>
      <c r="L62" s="200">
        <f t="shared" si="6"/>
        <v>8</v>
      </c>
      <c r="M62" s="210"/>
      <c r="N62" s="66">
        <f t="shared" si="7"/>
        <v>0</v>
      </c>
      <c r="O62" s="210"/>
      <c r="P62" s="66">
        <f t="shared" si="8"/>
        <v>0</v>
      </c>
      <c r="Q62" s="210">
        <v>8</v>
      </c>
      <c r="R62" s="66">
        <f t="shared" si="9"/>
        <v>94148.040000000008</v>
      </c>
      <c r="S62" s="201">
        <f t="shared" si="10"/>
        <v>23537.010000000002</v>
      </c>
      <c r="T62" s="66">
        <f t="shared" si="11"/>
        <v>117685.05000000002</v>
      </c>
      <c r="U62" s="66">
        <f t="shared" si="12"/>
        <v>11768.505000000003</v>
      </c>
      <c r="V62" s="66">
        <f t="shared" si="13"/>
        <v>23537.010000000006</v>
      </c>
      <c r="W62" s="202"/>
      <c r="X62" s="66">
        <f t="shared" si="1"/>
        <v>0</v>
      </c>
      <c r="Y62" s="211"/>
      <c r="Z62" s="66">
        <f t="shared" si="2"/>
        <v>0</v>
      </c>
      <c r="AA62" s="211"/>
      <c r="AB62" s="66">
        <f t="shared" si="3"/>
        <v>0</v>
      </c>
      <c r="AC62" s="211"/>
      <c r="AD62" s="66">
        <f t="shared" si="14"/>
        <v>0</v>
      </c>
      <c r="AE62" s="212"/>
      <c r="AF62" s="212"/>
      <c r="AG62" s="66">
        <f t="shared" si="15"/>
        <v>35305.515000000007</v>
      </c>
      <c r="AH62" s="66"/>
      <c r="AI62" s="66">
        <f t="shared" si="4"/>
        <v>0</v>
      </c>
      <c r="AJ62" s="210"/>
      <c r="AK62" s="66">
        <f t="shared" si="5"/>
        <v>0</v>
      </c>
      <c r="AL62" s="210"/>
      <c r="AM62" s="210"/>
      <c r="AN62" s="210"/>
      <c r="AO62" s="202">
        <f t="shared" si="19"/>
        <v>47074.020000000011</v>
      </c>
      <c r="AP62" s="210"/>
      <c r="AQ62" s="66">
        <f t="shared" si="16"/>
        <v>235370.10000000006</v>
      </c>
      <c r="AR62" s="66">
        <f t="shared" si="17"/>
        <v>2824.4412000000007</v>
      </c>
    </row>
    <row r="63" spans="1:44" s="204" customFormat="1" ht="15" customHeight="1">
      <c r="A63" s="242">
        <v>41</v>
      </c>
      <c r="B63" s="62" t="s">
        <v>102</v>
      </c>
      <c r="C63" s="63" t="s">
        <v>67</v>
      </c>
      <c r="D63" s="64" t="s">
        <v>50</v>
      </c>
      <c r="E63" s="51" t="s">
        <v>51</v>
      </c>
      <c r="F63" s="408" t="s">
        <v>533</v>
      </c>
      <c r="G63" s="214">
        <v>5.32</v>
      </c>
      <c r="H63" s="66">
        <v>17697</v>
      </c>
      <c r="I63" s="200">
        <v>2</v>
      </c>
      <c r="J63" s="66">
        <f t="shared" si="18"/>
        <v>188296.08000000002</v>
      </c>
      <c r="K63" s="200">
        <f t="shared" si="20"/>
        <v>1</v>
      </c>
      <c r="L63" s="200">
        <f t="shared" si="6"/>
        <v>16</v>
      </c>
      <c r="M63" s="210"/>
      <c r="N63" s="66">
        <f t="shared" si="7"/>
        <v>0</v>
      </c>
      <c r="O63" s="210">
        <v>2</v>
      </c>
      <c r="P63" s="66">
        <f t="shared" si="8"/>
        <v>23537.010000000002</v>
      </c>
      <c r="Q63" s="210">
        <v>14</v>
      </c>
      <c r="R63" s="66">
        <f t="shared" si="9"/>
        <v>164759.07</v>
      </c>
      <c r="S63" s="201">
        <f t="shared" si="10"/>
        <v>47074.020000000004</v>
      </c>
      <c r="T63" s="66">
        <f t="shared" si="11"/>
        <v>235370.10000000003</v>
      </c>
      <c r="U63" s="66">
        <f t="shared" si="12"/>
        <v>23537.010000000006</v>
      </c>
      <c r="V63" s="66">
        <f t="shared" si="13"/>
        <v>47074.020000000011</v>
      </c>
      <c r="W63" s="202"/>
      <c r="X63" s="66">
        <f t="shared" si="1"/>
        <v>0</v>
      </c>
      <c r="Y63" s="211"/>
      <c r="Z63" s="66">
        <f t="shared" si="2"/>
        <v>0</v>
      </c>
      <c r="AA63" s="211"/>
      <c r="AB63" s="66">
        <f t="shared" si="3"/>
        <v>0</v>
      </c>
      <c r="AC63" s="211">
        <v>16</v>
      </c>
      <c r="AD63" s="66">
        <f t="shared" si="14"/>
        <v>8848.5</v>
      </c>
      <c r="AE63" s="212"/>
      <c r="AF63" s="212"/>
      <c r="AG63" s="66">
        <f t="shared" si="15"/>
        <v>70611.030000000013</v>
      </c>
      <c r="AH63" s="66"/>
      <c r="AI63" s="66">
        <f t="shared" si="4"/>
        <v>0</v>
      </c>
      <c r="AJ63" s="210"/>
      <c r="AK63" s="66">
        <f t="shared" si="5"/>
        <v>0</v>
      </c>
      <c r="AL63" s="210"/>
      <c r="AM63" s="210"/>
      <c r="AN63" s="210"/>
      <c r="AO63" s="202">
        <f t="shared" si="19"/>
        <v>94148.040000000023</v>
      </c>
      <c r="AP63" s="210"/>
      <c r="AQ63" s="66">
        <f t="shared" si="16"/>
        <v>479604.70000000013</v>
      </c>
      <c r="AR63" s="66">
        <f t="shared" si="17"/>
        <v>5755.2564000000011</v>
      </c>
    </row>
    <row r="64" spans="1:44" s="204" customFormat="1" ht="15" customHeight="1">
      <c r="A64" s="51">
        <v>42</v>
      </c>
      <c r="B64" s="62" t="s">
        <v>103</v>
      </c>
      <c r="C64" s="63" t="s">
        <v>57</v>
      </c>
      <c r="D64" s="64" t="s">
        <v>50</v>
      </c>
      <c r="E64" s="51" t="s">
        <v>51</v>
      </c>
      <c r="F64" s="408" t="s">
        <v>534</v>
      </c>
      <c r="G64" s="214">
        <v>5.41</v>
      </c>
      <c r="H64" s="66">
        <v>17697</v>
      </c>
      <c r="I64" s="200">
        <v>2</v>
      </c>
      <c r="J64" s="66">
        <f t="shared" si="18"/>
        <v>191481.54</v>
      </c>
      <c r="K64" s="200">
        <f t="shared" si="20"/>
        <v>1</v>
      </c>
      <c r="L64" s="200">
        <f t="shared" si="6"/>
        <v>16</v>
      </c>
      <c r="M64" s="210"/>
      <c r="N64" s="66">
        <f t="shared" si="7"/>
        <v>0</v>
      </c>
      <c r="O64" s="210">
        <v>16</v>
      </c>
      <c r="P64" s="66">
        <f t="shared" si="8"/>
        <v>191481.54</v>
      </c>
      <c r="Q64" s="398"/>
      <c r="R64" s="66">
        <f t="shared" si="9"/>
        <v>0</v>
      </c>
      <c r="S64" s="201">
        <f t="shared" si="10"/>
        <v>47870.385000000002</v>
      </c>
      <c r="T64" s="66">
        <f t="shared" si="11"/>
        <v>239351.92500000002</v>
      </c>
      <c r="U64" s="66">
        <f t="shared" si="12"/>
        <v>23935.192500000005</v>
      </c>
      <c r="V64" s="66">
        <f t="shared" si="13"/>
        <v>47870.385000000009</v>
      </c>
      <c r="W64" s="202"/>
      <c r="X64" s="66">
        <f t="shared" si="1"/>
        <v>0</v>
      </c>
      <c r="Y64" s="211"/>
      <c r="Z64" s="66">
        <f t="shared" si="2"/>
        <v>0</v>
      </c>
      <c r="AA64" s="211"/>
      <c r="AB64" s="66">
        <f t="shared" si="3"/>
        <v>0</v>
      </c>
      <c r="AC64" s="211"/>
      <c r="AD64" s="66">
        <f t="shared" si="14"/>
        <v>0</v>
      </c>
      <c r="AE64" s="212"/>
      <c r="AF64" s="212"/>
      <c r="AG64" s="66">
        <f t="shared" si="15"/>
        <v>71805.577499999999</v>
      </c>
      <c r="AH64" s="66"/>
      <c r="AI64" s="66">
        <f t="shared" si="4"/>
        <v>0</v>
      </c>
      <c r="AJ64" s="210"/>
      <c r="AK64" s="66">
        <f t="shared" si="5"/>
        <v>0</v>
      </c>
      <c r="AL64" s="210">
        <v>3539</v>
      </c>
      <c r="AM64" s="210"/>
      <c r="AN64" s="210"/>
      <c r="AO64" s="202">
        <f t="shared" si="19"/>
        <v>95740.770000000019</v>
      </c>
      <c r="AP64" s="210"/>
      <c r="AQ64" s="66">
        <f t="shared" si="16"/>
        <v>482242.85000000009</v>
      </c>
      <c r="AR64" s="66">
        <f t="shared" si="17"/>
        <v>5786.9142000000011</v>
      </c>
    </row>
    <row r="65" spans="1:44" s="204" customFormat="1" ht="15" customHeight="1">
      <c r="A65" s="242">
        <v>43</v>
      </c>
      <c r="B65" s="62" t="s">
        <v>104</v>
      </c>
      <c r="C65" s="63" t="s">
        <v>49</v>
      </c>
      <c r="D65" s="64" t="s">
        <v>50</v>
      </c>
      <c r="E65" s="51" t="s">
        <v>51</v>
      </c>
      <c r="F65" s="408" t="s">
        <v>535</v>
      </c>
      <c r="G65" s="214">
        <v>5.41</v>
      </c>
      <c r="H65" s="66">
        <v>17697</v>
      </c>
      <c r="I65" s="200">
        <v>2</v>
      </c>
      <c r="J65" s="66">
        <f t="shared" si="18"/>
        <v>191481.54</v>
      </c>
      <c r="K65" s="200">
        <f t="shared" si="20"/>
        <v>1.375</v>
      </c>
      <c r="L65" s="200">
        <f t="shared" si="6"/>
        <v>22</v>
      </c>
      <c r="M65" s="210">
        <v>3</v>
      </c>
      <c r="N65" s="66">
        <f t="shared" si="7"/>
        <v>35902.78875</v>
      </c>
      <c r="O65" s="210">
        <v>11</v>
      </c>
      <c r="P65" s="66">
        <f t="shared" si="8"/>
        <v>131643.55875</v>
      </c>
      <c r="Q65" s="210">
        <v>8</v>
      </c>
      <c r="R65" s="66">
        <f t="shared" si="9"/>
        <v>95740.77</v>
      </c>
      <c r="S65" s="201">
        <f t="shared" si="10"/>
        <v>65821.779374999998</v>
      </c>
      <c r="T65" s="66">
        <f t="shared" si="11"/>
        <v>329108.89687499998</v>
      </c>
      <c r="U65" s="66">
        <f t="shared" si="12"/>
        <v>32910.889687499999</v>
      </c>
      <c r="V65" s="66">
        <f t="shared" si="13"/>
        <v>65821.779374999998</v>
      </c>
      <c r="W65" s="202"/>
      <c r="X65" s="66">
        <f t="shared" si="1"/>
        <v>0</v>
      </c>
      <c r="Y65" s="211"/>
      <c r="Z65" s="66">
        <f t="shared" si="2"/>
        <v>0</v>
      </c>
      <c r="AA65" s="211"/>
      <c r="AB65" s="66">
        <f t="shared" si="3"/>
        <v>0</v>
      </c>
      <c r="AC65" s="211"/>
      <c r="AD65" s="66">
        <f t="shared" si="14"/>
        <v>0</v>
      </c>
      <c r="AE65" s="212"/>
      <c r="AF65" s="212"/>
      <c r="AG65" s="66">
        <f t="shared" si="15"/>
        <v>98732.66906249999</v>
      </c>
      <c r="AH65" s="66"/>
      <c r="AI65" s="66">
        <f t="shared" si="4"/>
        <v>0</v>
      </c>
      <c r="AJ65" s="210"/>
      <c r="AK65" s="66">
        <f t="shared" si="5"/>
        <v>0</v>
      </c>
      <c r="AL65" s="210">
        <v>3539</v>
      </c>
      <c r="AM65" s="210"/>
      <c r="AN65" s="213"/>
      <c r="AO65" s="202">
        <f t="shared" si="19"/>
        <v>131643.55875</v>
      </c>
      <c r="AP65" s="210"/>
      <c r="AQ65" s="66">
        <f t="shared" si="16"/>
        <v>661756.79374999995</v>
      </c>
      <c r="AR65" s="66">
        <f t="shared" si="17"/>
        <v>7941.0815249999996</v>
      </c>
    </row>
    <row r="66" spans="1:44" s="204" customFormat="1" ht="15" customHeight="1">
      <c r="A66" s="51">
        <v>44</v>
      </c>
      <c r="B66" s="62" t="s">
        <v>105</v>
      </c>
      <c r="C66" s="63" t="s">
        <v>60</v>
      </c>
      <c r="D66" s="64" t="s">
        <v>50</v>
      </c>
      <c r="E66" s="51" t="s">
        <v>51</v>
      </c>
      <c r="F66" s="408" t="s">
        <v>511</v>
      </c>
      <c r="G66" s="214">
        <v>5.24</v>
      </c>
      <c r="H66" s="66">
        <v>17697</v>
      </c>
      <c r="I66" s="200">
        <v>2</v>
      </c>
      <c r="J66" s="66">
        <f t="shared" si="18"/>
        <v>185464.56</v>
      </c>
      <c r="K66" s="200">
        <f t="shared" si="20"/>
        <v>1.0625</v>
      </c>
      <c r="L66" s="200">
        <f t="shared" si="6"/>
        <v>17</v>
      </c>
      <c r="M66" s="210">
        <v>2</v>
      </c>
      <c r="N66" s="66">
        <f t="shared" si="7"/>
        <v>23183.07</v>
      </c>
      <c r="O66" s="210"/>
      <c r="P66" s="66">
        <f t="shared" si="8"/>
        <v>0</v>
      </c>
      <c r="Q66" s="210">
        <v>15</v>
      </c>
      <c r="R66" s="66">
        <f t="shared" si="9"/>
        <v>173873.02499999999</v>
      </c>
      <c r="S66" s="201">
        <f t="shared" si="10"/>
        <v>49264.02375</v>
      </c>
      <c r="T66" s="66">
        <f t="shared" si="11"/>
        <v>246320.11874999999</v>
      </c>
      <c r="U66" s="66">
        <f t="shared" si="12"/>
        <v>24632.011875</v>
      </c>
      <c r="V66" s="66">
        <f t="shared" si="13"/>
        <v>49264.02375</v>
      </c>
      <c r="W66" s="202"/>
      <c r="X66" s="66">
        <f t="shared" si="1"/>
        <v>0</v>
      </c>
      <c r="Y66" s="211">
        <v>1</v>
      </c>
      <c r="Z66" s="66">
        <f t="shared" si="2"/>
        <v>10618.199999999999</v>
      </c>
      <c r="AA66" s="211">
        <v>17</v>
      </c>
      <c r="AB66" s="66">
        <f t="shared" si="3"/>
        <v>7521.2250000000004</v>
      </c>
      <c r="AC66" s="211"/>
      <c r="AD66" s="66">
        <f t="shared" si="14"/>
        <v>0</v>
      </c>
      <c r="AE66" s="212"/>
      <c r="AF66" s="212"/>
      <c r="AG66" s="66">
        <f t="shared" si="15"/>
        <v>73896.03562499999</v>
      </c>
      <c r="AH66" s="66"/>
      <c r="AI66" s="66">
        <f t="shared" si="4"/>
        <v>0</v>
      </c>
      <c r="AJ66" s="210"/>
      <c r="AK66" s="66">
        <f t="shared" si="5"/>
        <v>0</v>
      </c>
      <c r="AL66" s="210"/>
      <c r="AM66" s="210"/>
      <c r="AN66" s="213"/>
      <c r="AO66" s="202">
        <f t="shared" si="19"/>
        <v>98528.047500000001</v>
      </c>
      <c r="AP66" s="210"/>
      <c r="AQ66" s="66">
        <f t="shared" si="16"/>
        <v>510797.66249999998</v>
      </c>
      <c r="AR66" s="66">
        <f t="shared" si="17"/>
        <v>6129.5719499999996</v>
      </c>
    </row>
    <row r="67" spans="1:44" s="204" customFormat="1" ht="15" customHeight="1">
      <c r="A67" s="51">
        <v>45</v>
      </c>
      <c r="B67" s="62" t="s">
        <v>106</v>
      </c>
      <c r="C67" s="63" t="s">
        <v>60</v>
      </c>
      <c r="D67" s="64" t="s">
        <v>50</v>
      </c>
      <c r="E67" s="51" t="s">
        <v>51</v>
      </c>
      <c r="F67" s="408" t="s">
        <v>518</v>
      </c>
      <c r="G67" s="214">
        <v>5.32</v>
      </c>
      <c r="H67" s="66">
        <v>17697</v>
      </c>
      <c r="I67" s="200">
        <v>2</v>
      </c>
      <c r="J67" s="66">
        <f t="shared" si="18"/>
        <v>188296.08000000002</v>
      </c>
      <c r="K67" s="200">
        <f t="shared" si="20"/>
        <v>1.1875</v>
      </c>
      <c r="L67" s="200">
        <f t="shared" si="6"/>
        <v>19</v>
      </c>
      <c r="M67" s="51">
        <v>2</v>
      </c>
      <c r="N67" s="66">
        <f>J67/16*M67</f>
        <v>23537.010000000002</v>
      </c>
      <c r="O67" s="396">
        <v>9</v>
      </c>
      <c r="P67" s="66">
        <f t="shared" si="8"/>
        <v>105916.54500000001</v>
      </c>
      <c r="Q67" s="396">
        <v>8</v>
      </c>
      <c r="R67" s="66">
        <f t="shared" si="9"/>
        <v>94148.040000000008</v>
      </c>
      <c r="S67" s="201">
        <f t="shared" si="10"/>
        <v>55900.398750000008</v>
      </c>
      <c r="T67" s="66">
        <f t="shared" si="11"/>
        <v>279501.99375000002</v>
      </c>
      <c r="U67" s="66">
        <f t="shared" si="12"/>
        <v>27950.199375000004</v>
      </c>
      <c r="V67" s="66">
        <f t="shared" si="13"/>
        <v>55900.398750000008</v>
      </c>
      <c r="W67" s="202"/>
      <c r="X67" s="66">
        <f t="shared" si="1"/>
        <v>0</v>
      </c>
      <c r="Y67" s="67"/>
      <c r="Z67" s="66">
        <f t="shared" si="2"/>
        <v>0</v>
      </c>
      <c r="AA67" s="67">
        <v>19</v>
      </c>
      <c r="AB67" s="66">
        <f t="shared" si="3"/>
        <v>8406.0750000000007</v>
      </c>
      <c r="AC67" s="67"/>
      <c r="AD67" s="66">
        <f t="shared" si="14"/>
        <v>0</v>
      </c>
      <c r="AE67" s="68"/>
      <c r="AF67" s="66"/>
      <c r="AG67" s="66">
        <f t="shared" si="15"/>
        <v>83850.598125000004</v>
      </c>
      <c r="AH67" s="66"/>
      <c r="AI67" s="66">
        <f t="shared" si="4"/>
        <v>0</v>
      </c>
      <c r="AJ67" s="206">
        <v>2</v>
      </c>
      <c r="AK67" s="66">
        <f t="shared" si="5"/>
        <v>884.85</v>
      </c>
      <c r="AL67" s="66"/>
      <c r="AM67" s="66"/>
      <c r="AN67" s="66"/>
      <c r="AO67" s="202">
        <f t="shared" si="19"/>
        <v>111800.79750000002</v>
      </c>
      <c r="AP67" s="66"/>
      <c r="AQ67" s="66">
        <f t="shared" si="16"/>
        <v>568315.91250000009</v>
      </c>
      <c r="AR67" s="66">
        <f t="shared" si="17"/>
        <v>6819.7909500000014</v>
      </c>
    </row>
    <row r="68" spans="1:44" s="76" customFormat="1" ht="15" customHeight="1">
      <c r="A68" s="259"/>
      <c r="B68" s="70" t="s">
        <v>51</v>
      </c>
      <c r="C68" s="70"/>
      <c r="D68" s="70"/>
      <c r="E68" s="70"/>
      <c r="F68" s="71"/>
      <c r="G68" s="72"/>
      <c r="H68" s="73"/>
      <c r="I68" s="74"/>
      <c r="J68" s="75">
        <f t="shared" ref="J68:AR68" si="21">SUM(J23:J67)</f>
        <v>8504824.2599999998</v>
      </c>
      <c r="K68" s="75">
        <f t="shared" si="21"/>
        <v>49.21875</v>
      </c>
      <c r="L68" s="75">
        <f t="shared" si="21"/>
        <v>787.5</v>
      </c>
      <c r="M68" s="75">
        <f t="shared" si="21"/>
        <v>213.5</v>
      </c>
      <c r="N68" s="75">
        <f t="shared" si="21"/>
        <v>2514323.3962499988</v>
      </c>
      <c r="O68" s="75">
        <f t="shared" si="21"/>
        <v>400</v>
      </c>
      <c r="P68" s="75">
        <f t="shared" si="21"/>
        <v>4743083.5762499999</v>
      </c>
      <c r="Q68" s="75">
        <f t="shared" si="21"/>
        <v>174</v>
      </c>
      <c r="R68" s="75">
        <f t="shared" si="21"/>
        <v>2045264.4112500001</v>
      </c>
      <c r="S68" s="75">
        <f t="shared" si="21"/>
        <v>2325667.8459375002</v>
      </c>
      <c r="T68" s="75">
        <f t="shared" si="21"/>
        <v>11628339.229687503</v>
      </c>
      <c r="U68" s="75">
        <f t="shared" si="21"/>
        <v>1162833.9229687504</v>
      </c>
      <c r="V68" s="75">
        <f t="shared" si="21"/>
        <v>2325667.8459375007</v>
      </c>
      <c r="W68" s="75">
        <f t="shared" si="21"/>
        <v>9</v>
      </c>
      <c r="X68" s="75">
        <f t="shared" si="21"/>
        <v>79636.5</v>
      </c>
      <c r="Y68" s="75">
        <f t="shared" si="21"/>
        <v>11</v>
      </c>
      <c r="Z68" s="75">
        <f t="shared" si="21"/>
        <v>116800.19999999998</v>
      </c>
      <c r="AA68" s="75">
        <f t="shared" si="21"/>
        <v>370</v>
      </c>
      <c r="AB68" s="75">
        <f t="shared" si="21"/>
        <v>163697.25000000003</v>
      </c>
      <c r="AC68" s="75">
        <f t="shared" si="21"/>
        <v>206</v>
      </c>
      <c r="AD68" s="75">
        <f t="shared" si="21"/>
        <v>113924.4375</v>
      </c>
      <c r="AE68" s="75">
        <f t="shared" si="21"/>
        <v>69000</v>
      </c>
      <c r="AF68" s="75">
        <f t="shared" si="21"/>
        <v>17697</v>
      </c>
      <c r="AG68" s="75">
        <f t="shared" si="21"/>
        <v>3488501.7689062506</v>
      </c>
      <c r="AH68" s="75">
        <f t="shared" si="21"/>
        <v>105</v>
      </c>
      <c r="AI68" s="75">
        <f t="shared" si="21"/>
        <v>23227.312500000004</v>
      </c>
      <c r="AJ68" s="75">
        <f t="shared" si="21"/>
        <v>2</v>
      </c>
      <c r="AK68" s="75">
        <f t="shared" si="21"/>
        <v>884.85</v>
      </c>
      <c r="AL68" s="75">
        <f t="shared" si="21"/>
        <v>31851</v>
      </c>
      <c r="AM68" s="75">
        <f t="shared" si="21"/>
        <v>0</v>
      </c>
      <c r="AN68" s="75">
        <f t="shared" si="21"/>
        <v>0</v>
      </c>
      <c r="AO68" s="75">
        <f t="shared" si="21"/>
        <v>4495756.9406250017</v>
      </c>
      <c r="AP68" s="75">
        <f t="shared" si="21"/>
        <v>59837.981250000004</v>
      </c>
      <c r="AQ68" s="75">
        <f t="shared" si="21"/>
        <v>23778359.239375003</v>
      </c>
      <c r="AR68" s="75">
        <f t="shared" si="21"/>
        <v>285340.31087250006</v>
      </c>
    </row>
    <row r="69" spans="1:44" s="204" customFormat="1" ht="15" customHeight="1">
      <c r="A69" s="51">
        <v>46</v>
      </c>
      <c r="B69" s="435" t="s">
        <v>566</v>
      </c>
      <c r="C69" s="217" t="s">
        <v>94</v>
      </c>
      <c r="D69" s="64" t="s">
        <v>50</v>
      </c>
      <c r="E69" s="51" t="s">
        <v>110</v>
      </c>
      <c r="F69" s="408" t="s">
        <v>569</v>
      </c>
      <c r="G69" s="214">
        <v>5.2</v>
      </c>
      <c r="H69" s="66">
        <v>17697</v>
      </c>
      <c r="I69" s="200">
        <v>2</v>
      </c>
      <c r="J69" s="66">
        <f t="shared" si="18"/>
        <v>184048.80000000002</v>
      </c>
      <c r="K69" s="200">
        <f>(M69+O69+Q69)/16</f>
        <v>0.75</v>
      </c>
      <c r="L69" s="200">
        <f t="shared" si="6"/>
        <v>12</v>
      </c>
      <c r="M69" s="210"/>
      <c r="N69" s="66">
        <f>J69/16*M69</f>
        <v>0</v>
      </c>
      <c r="O69" s="210">
        <v>8</v>
      </c>
      <c r="P69" s="66">
        <f t="shared" si="8"/>
        <v>92024.400000000009</v>
      </c>
      <c r="Q69" s="210">
        <v>4</v>
      </c>
      <c r="R69" s="66">
        <f t="shared" ref="R69" si="22">J69/16*Q69</f>
        <v>46012.200000000004</v>
      </c>
      <c r="S69" s="201">
        <f t="shared" ref="S69" si="23">(N69+P69+R69)*25%</f>
        <v>34509.15</v>
      </c>
      <c r="T69" s="66">
        <f t="shared" ref="T69" si="24">N69+P69+R69+S69</f>
        <v>172545.75</v>
      </c>
      <c r="U69" s="66">
        <f t="shared" si="12"/>
        <v>17254.575000000001</v>
      </c>
      <c r="V69" s="66">
        <f t="shared" ref="V69" si="25">T69*20%</f>
        <v>34509.15</v>
      </c>
      <c r="W69" s="210"/>
      <c r="X69" s="66">
        <f t="shared" si="1"/>
        <v>0</v>
      </c>
      <c r="Y69" s="211"/>
      <c r="Z69" s="66">
        <f t="shared" si="2"/>
        <v>0</v>
      </c>
      <c r="AA69" s="211"/>
      <c r="AB69" s="66">
        <f t="shared" si="3"/>
        <v>0</v>
      </c>
      <c r="AC69" s="211"/>
      <c r="AD69" s="66">
        <f t="shared" si="14"/>
        <v>0</v>
      </c>
      <c r="AE69" s="212"/>
      <c r="AF69" s="212"/>
      <c r="AG69" s="66">
        <f t="shared" si="15"/>
        <v>51763.724999999999</v>
      </c>
      <c r="AH69" s="66"/>
      <c r="AI69" s="66">
        <f t="shared" si="4"/>
        <v>0</v>
      </c>
      <c r="AJ69" s="210"/>
      <c r="AK69" s="66">
        <f t="shared" si="5"/>
        <v>0</v>
      </c>
      <c r="AL69" s="210"/>
      <c r="AM69" s="210"/>
      <c r="AN69" s="213">
        <f>T69*35%</f>
        <v>60391.012499999997</v>
      </c>
      <c r="AO69" s="210"/>
      <c r="AP69" s="210"/>
      <c r="AQ69" s="66">
        <f t="shared" ref="AQ69" si="26">SUM(T69:AP69)</f>
        <v>336464.21250000002</v>
      </c>
      <c r="AR69" s="66">
        <f t="shared" si="17"/>
        <v>4037.5705500000004</v>
      </c>
    </row>
    <row r="70" spans="1:44" s="204" customFormat="1" ht="15" customHeight="1">
      <c r="A70" s="51">
        <v>47</v>
      </c>
      <c r="B70" s="62" t="s">
        <v>200</v>
      </c>
      <c r="C70" s="63" t="s">
        <v>53</v>
      </c>
      <c r="D70" s="64" t="s">
        <v>50</v>
      </c>
      <c r="E70" s="51" t="s">
        <v>110</v>
      </c>
      <c r="F70" s="408" t="s">
        <v>524</v>
      </c>
      <c r="G70" s="214">
        <v>5.2</v>
      </c>
      <c r="H70" s="66">
        <v>17697</v>
      </c>
      <c r="I70" s="200">
        <v>2</v>
      </c>
      <c r="J70" s="66">
        <f t="shared" si="18"/>
        <v>184048.80000000002</v>
      </c>
      <c r="K70" s="200">
        <f>(M70+O70+Q70)/16</f>
        <v>0.5</v>
      </c>
      <c r="L70" s="200">
        <f t="shared" si="6"/>
        <v>8</v>
      </c>
      <c r="M70" s="210">
        <v>8</v>
      </c>
      <c r="N70" s="66">
        <f t="shared" ref="N70:N133" si="27">J70/16*M70</f>
        <v>92024.400000000009</v>
      </c>
      <c r="O70" s="210"/>
      <c r="P70" s="66">
        <f t="shared" si="8"/>
        <v>0</v>
      </c>
      <c r="Q70" s="210"/>
      <c r="R70" s="66">
        <f t="shared" ref="R70:R131" si="28">J70/16*Q70</f>
        <v>0</v>
      </c>
      <c r="S70" s="201">
        <f t="shared" ref="S70:S99" si="29">(N70+P70+R70)*25%</f>
        <v>23006.100000000002</v>
      </c>
      <c r="T70" s="66">
        <f t="shared" ref="T70:T99" si="30">N70+P70+R70+S70</f>
        <v>115030.50000000001</v>
      </c>
      <c r="U70" s="66">
        <f t="shared" si="12"/>
        <v>11503.050000000003</v>
      </c>
      <c r="V70" s="66">
        <f t="shared" ref="V70:V99" si="31">T70*20%</f>
        <v>23006.100000000006</v>
      </c>
      <c r="W70" s="210"/>
      <c r="X70" s="66">
        <f t="shared" si="1"/>
        <v>0</v>
      </c>
      <c r="Y70" s="211"/>
      <c r="Z70" s="66">
        <f t="shared" si="2"/>
        <v>0</v>
      </c>
      <c r="AA70" s="211">
        <v>8</v>
      </c>
      <c r="AB70" s="66">
        <f t="shared" si="3"/>
        <v>3539.4</v>
      </c>
      <c r="AC70" s="211"/>
      <c r="AD70" s="66">
        <f t="shared" si="14"/>
        <v>0</v>
      </c>
      <c r="AE70" s="212"/>
      <c r="AF70" s="212"/>
      <c r="AG70" s="66">
        <f t="shared" si="15"/>
        <v>34509.15</v>
      </c>
      <c r="AH70" s="66"/>
      <c r="AI70" s="66">
        <f t="shared" si="4"/>
        <v>0</v>
      </c>
      <c r="AJ70" s="210"/>
      <c r="AK70" s="66">
        <f t="shared" si="5"/>
        <v>0</v>
      </c>
      <c r="AL70" s="210"/>
      <c r="AM70" s="210"/>
      <c r="AN70" s="213">
        <f t="shared" ref="AN70:AN99" si="32">T70*35%</f>
        <v>40260.675000000003</v>
      </c>
      <c r="AO70" s="210"/>
      <c r="AP70" s="210"/>
      <c r="AQ70" s="66">
        <f t="shared" ref="AQ70:AQ99" si="33">SUM(T70:AP70)</f>
        <v>227856.875</v>
      </c>
      <c r="AR70" s="66">
        <f t="shared" si="17"/>
        <v>2734.2824999999998</v>
      </c>
    </row>
    <row r="71" spans="1:44" s="204" customFormat="1" ht="15" customHeight="1">
      <c r="A71" s="51">
        <v>48</v>
      </c>
      <c r="B71" s="62" t="s">
        <v>75</v>
      </c>
      <c r="C71" s="63" t="s">
        <v>53</v>
      </c>
      <c r="D71" s="64" t="s">
        <v>50</v>
      </c>
      <c r="E71" s="51" t="s">
        <v>110</v>
      </c>
      <c r="F71" s="408" t="s">
        <v>518</v>
      </c>
      <c r="G71" s="214">
        <v>5.12</v>
      </c>
      <c r="H71" s="66">
        <v>17697</v>
      </c>
      <c r="I71" s="200">
        <v>2</v>
      </c>
      <c r="J71" s="66">
        <f t="shared" si="18"/>
        <v>181217.28</v>
      </c>
      <c r="K71" s="200">
        <f>(M71+O71+Q71)/16</f>
        <v>1.125</v>
      </c>
      <c r="L71" s="200">
        <f t="shared" si="6"/>
        <v>18</v>
      </c>
      <c r="M71" s="210">
        <v>18</v>
      </c>
      <c r="N71" s="66">
        <f t="shared" si="27"/>
        <v>203869.44</v>
      </c>
      <c r="O71" s="210"/>
      <c r="P71" s="66">
        <f t="shared" si="8"/>
        <v>0</v>
      </c>
      <c r="Q71" s="210"/>
      <c r="R71" s="66">
        <f t="shared" si="28"/>
        <v>0</v>
      </c>
      <c r="S71" s="201">
        <f t="shared" si="29"/>
        <v>50967.360000000001</v>
      </c>
      <c r="T71" s="66">
        <f t="shared" si="30"/>
        <v>254836.8</v>
      </c>
      <c r="U71" s="66">
        <f t="shared" si="12"/>
        <v>25483.68</v>
      </c>
      <c r="V71" s="66">
        <f t="shared" si="31"/>
        <v>50967.360000000001</v>
      </c>
      <c r="W71" s="210">
        <v>1</v>
      </c>
      <c r="X71" s="66">
        <f t="shared" si="1"/>
        <v>8848.5</v>
      </c>
      <c r="Y71" s="211"/>
      <c r="Z71" s="66">
        <f t="shared" si="2"/>
        <v>0</v>
      </c>
      <c r="AA71" s="211">
        <v>16</v>
      </c>
      <c r="AB71" s="66">
        <f t="shared" si="3"/>
        <v>7078.8</v>
      </c>
      <c r="AC71" s="211"/>
      <c r="AD71" s="66">
        <f t="shared" si="14"/>
        <v>0</v>
      </c>
      <c r="AE71" s="212"/>
      <c r="AF71" s="212"/>
      <c r="AG71" s="66">
        <f t="shared" si="15"/>
        <v>76451.039999999994</v>
      </c>
      <c r="AH71" s="66"/>
      <c r="AI71" s="66">
        <f t="shared" si="4"/>
        <v>0</v>
      </c>
      <c r="AJ71" s="210"/>
      <c r="AK71" s="66">
        <f t="shared" si="5"/>
        <v>0</v>
      </c>
      <c r="AL71" s="210"/>
      <c r="AM71" s="210"/>
      <c r="AN71" s="213">
        <f t="shared" si="32"/>
        <v>89192.87999999999</v>
      </c>
      <c r="AO71" s="210"/>
      <c r="AP71" s="210"/>
      <c r="AQ71" s="66">
        <f t="shared" si="33"/>
        <v>512876.05999999994</v>
      </c>
      <c r="AR71" s="66">
        <f t="shared" si="17"/>
        <v>6154.5127199999988</v>
      </c>
    </row>
    <row r="72" spans="1:44" s="204" customFormat="1" ht="15" customHeight="1">
      <c r="A72" s="51">
        <v>49</v>
      </c>
      <c r="B72" s="62" t="s">
        <v>111</v>
      </c>
      <c r="C72" s="63" t="s">
        <v>94</v>
      </c>
      <c r="D72" s="64" t="s">
        <v>50</v>
      </c>
      <c r="E72" s="51" t="s">
        <v>110</v>
      </c>
      <c r="F72" s="261">
        <v>37</v>
      </c>
      <c r="G72" s="214">
        <v>5.2</v>
      </c>
      <c r="H72" s="66">
        <v>17697</v>
      </c>
      <c r="I72" s="200">
        <v>2</v>
      </c>
      <c r="J72" s="66">
        <f t="shared" si="18"/>
        <v>184048.80000000002</v>
      </c>
      <c r="K72" s="200">
        <f t="shared" si="20"/>
        <v>1</v>
      </c>
      <c r="L72" s="200">
        <f t="shared" si="6"/>
        <v>16</v>
      </c>
      <c r="M72" s="210"/>
      <c r="N72" s="66">
        <f t="shared" si="27"/>
        <v>0</v>
      </c>
      <c r="O72" s="210">
        <v>9</v>
      </c>
      <c r="P72" s="66">
        <f t="shared" si="8"/>
        <v>103527.45000000001</v>
      </c>
      <c r="Q72" s="210">
        <v>7</v>
      </c>
      <c r="R72" s="66">
        <f t="shared" si="28"/>
        <v>80521.350000000006</v>
      </c>
      <c r="S72" s="201">
        <f t="shared" si="29"/>
        <v>46012.200000000004</v>
      </c>
      <c r="T72" s="66">
        <f t="shared" si="30"/>
        <v>230061.00000000003</v>
      </c>
      <c r="U72" s="66">
        <f t="shared" si="12"/>
        <v>23006.100000000006</v>
      </c>
      <c r="V72" s="66">
        <f t="shared" si="31"/>
        <v>46012.200000000012</v>
      </c>
      <c r="W72" s="210"/>
      <c r="X72" s="66">
        <f t="shared" si="1"/>
        <v>0</v>
      </c>
      <c r="Y72" s="211"/>
      <c r="Z72" s="66">
        <f t="shared" si="2"/>
        <v>0</v>
      </c>
      <c r="AA72" s="211"/>
      <c r="AB72" s="66">
        <f t="shared" si="3"/>
        <v>0</v>
      </c>
      <c r="AC72" s="211"/>
      <c r="AD72" s="66">
        <f t="shared" si="14"/>
        <v>0</v>
      </c>
      <c r="AE72" s="212"/>
      <c r="AF72" s="212"/>
      <c r="AG72" s="66">
        <f t="shared" si="15"/>
        <v>69018.3</v>
      </c>
      <c r="AH72" s="66"/>
      <c r="AI72" s="66">
        <f t="shared" si="4"/>
        <v>0</v>
      </c>
      <c r="AJ72" s="210"/>
      <c r="AK72" s="66">
        <f t="shared" si="5"/>
        <v>0</v>
      </c>
      <c r="AL72" s="210"/>
      <c r="AM72" s="210"/>
      <c r="AN72" s="213">
        <f t="shared" si="32"/>
        <v>80521.350000000006</v>
      </c>
      <c r="AO72" s="210"/>
      <c r="AP72" s="210"/>
      <c r="AQ72" s="66">
        <f t="shared" si="33"/>
        <v>448618.95000000007</v>
      </c>
      <c r="AR72" s="66">
        <f t="shared" si="17"/>
        <v>5383.4274000000005</v>
      </c>
    </row>
    <row r="73" spans="1:44" s="204" customFormat="1" ht="15" customHeight="1">
      <c r="A73" s="51">
        <v>50</v>
      </c>
      <c r="B73" s="62" t="s">
        <v>112</v>
      </c>
      <c r="C73" s="63" t="s">
        <v>55</v>
      </c>
      <c r="D73" s="64" t="s">
        <v>50</v>
      </c>
      <c r="E73" s="51" t="s">
        <v>110</v>
      </c>
      <c r="F73" s="261">
        <v>19</v>
      </c>
      <c r="G73" s="214">
        <v>5.03</v>
      </c>
      <c r="H73" s="66">
        <v>17697</v>
      </c>
      <c r="I73" s="200">
        <v>2</v>
      </c>
      <c r="J73" s="66">
        <f t="shared" si="18"/>
        <v>178031.82</v>
      </c>
      <c r="K73" s="200">
        <f t="shared" si="20"/>
        <v>1.375</v>
      </c>
      <c r="L73" s="200">
        <f t="shared" si="6"/>
        <v>22</v>
      </c>
      <c r="M73" s="210"/>
      <c r="N73" s="66">
        <f t="shared" si="27"/>
        <v>0</v>
      </c>
      <c r="O73" s="210">
        <v>12</v>
      </c>
      <c r="P73" s="66">
        <f t="shared" si="8"/>
        <v>133523.86499999999</v>
      </c>
      <c r="Q73" s="210">
        <v>10</v>
      </c>
      <c r="R73" s="66">
        <f t="shared" si="28"/>
        <v>111269.88750000001</v>
      </c>
      <c r="S73" s="201">
        <f t="shared" si="29"/>
        <v>61198.438125000001</v>
      </c>
      <c r="T73" s="66">
        <f t="shared" si="30"/>
        <v>305992.19062499999</v>
      </c>
      <c r="U73" s="66">
        <f t="shared" si="12"/>
        <v>30599.2190625</v>
      </c>
      <c r="V73" s="66">
        <f t="shared" si="31"/>
        <v>61198.438125000001</v>
      </c>
      <c r="W73" s="210"/>
      <c r="X73" s="66">
        <f t="shared" si="1"/>
        <v>0</v>
      </c>
      <c r="Y73" s="211">
        <v>1</v>
      </c>
      <c r="Z73" s="66">
        <f t="shared" si="2"/>
        <v>10618.199999999999</v>
      </c>
      <c r="AA73" s="211"/>
      <c r="AB73" s="66">
        <f t="shared" si="3"/>
        <v>0</v>
      </c>
      <c r="AC73" s="211">
        <v>22</v>
      </c>
      <c r="AD73" s="66">
        <f t="shared" si="14"/>
        <v>12166.6875</v>
      </c>
      <c r="AE73" s="212"/>
      <c r="AF73" s="212"/>
      <c r="AG73" s="66">
        <f t="shared" si="15"/>
        <v>91797.657187499994</v>
      </c>
      <c r="AH73" s="66"/>
      <c r="AI73" s="66">
        <f t="shared" si="4"/>
        <v>0</v>
      </c>
      <c r="AJ73" s="210">
        <v>2</v>
      </c>
      <c r="AK73" s="66">
        <f t="shared" si="5"/>
        <v>884.85</v>
      </c>
      <c r="AL73" s="210"/>
      <c r="AM73" s="210"/>
      <c r="AN73" s="213">
        <f t="shared" si="32"/>
        <v>107097.26671874999</v>
      </c>
      <c r="AO73" s="210"/>
      <c r="AP73" s="210"/>
      <c r="AQ73" s="66">
        <f t="shared" si="33"/>
        <v>620379.50921874994</v>
      </c>
      <c r="AR73" s="66">
        <f t="shared" si="17"/>
        <v>7444.5541106249984</v>
      </c>
    </row>
    <row r="74" spans="1:44" s="204" customFormat="1" ht="15" customHeight="1">
      <c r="A74" s="51">
        <v>51</v>
      </c>
      <c r="B74" s="62" t="s">
        <v>113</v>
      </c>
      <c r="C74" s="63" t="s">
        <v>53</v>
      </c>
      <c r="D74" s="64" t="s">
        <v>50</v>
      </c>
      <c r="E74" s="51" t="s">
        <v>110</v>
      </c>
      <c r="F74" s="261">
        <v>37.01</v>
      </c>
      <c r="G74" s="214">
        <v>5.2</v>
      </c>
      <c r="H74" s="66">
        <v>17697</v>
      </c>
      <c r="I74" s="200">
        <v>2</v>
      </c>
      <c r="J74" s="66">
        <f t="shared" si="18"/>
        <v>184048.80000000002</v>
      </c>
      <c r="K74" s="200">
        <f t="shared" si="20"/>
        <v>1.125</v>
      </c>
      <c r="L74" s="200">
        <f t="shared" si="6"/>
        <v>18</v>
      </c>
      <c r="M74" s="210">
        <v>18</v>
      </c>
      <c r="N74" s="66">
        <f t="shared" si="27"/>
        <v>207054.90000000002</v>
      </c>
      <c r="O74" s="210"/>
      <c r="P74" s="66">
        <f t="shared" si="8"/>
        <v>0</v>
      </c>
      <c r="Q74" s="210"/>
      <c r="R74" s="66">
        <f t="shared" si="28"/>
        <v>0</v>
      </c>
      <c r="S74" s="201">
        <f t="shared" si="29"/>
        <v>51763.725000000006</v>
      </c>
      <c r="T74" s="66">
        <f t="shared" si="30"/>
        <v>258818.62500000003</v>
      </c>
      <c r="U74" s="66">
        <f t="shared" si="12"/>
        <v>25881.862500000003</v>
      </c>
      <c r="V74" s="66">
        <f t="shared" si="31"/>
        <v>51763.725000000006</v>
      </c>
      <c r="W74" s="210">
        <v>1</v>
      </c>
      <c r="X74" s="66">
        <f t="shared" si="1"/>
        <v>8848.5</v>
      </c>
      <c r="Y74" s="211"/>
      <c r="Z74" s="66">
        <f t="shared" si="2"/>
        <v>0</v>
      </c>
      <c r="AA74" s="211">
        <v>18</v>
      </c>
      <c r="AB74" s="66">
        <f t="shared" si="3"/>
        <v>7963.6500000000005</v>
      </c>
      <c r="AC74" s="211"/>
      <c r="AD74" s="66">
        <f t="shared" si="14"/>
        <v>0</v>
      </c>
      <c r="AE74" s="212"/>
      <c r="AF74" s="212"/>
      <c r="AG74" s="66">
        <f t="shared" si="15"/>
        <v>77645.587500000009</v>
      </c>
      <c r="AH74" s="66">
        <v>11</v>
      </c>
      <c r="AI74" s="66">
        <f t="shared" si="4"/>
        <v>2433.3375000000001</v>
      </c>
      <c r="AJ74" s="210"/>
      <c r="AK74" s="66">
        <f t="shared" si="5"/>
        <v>0</v>
      </c>
      <c r="AL74" s="210"/>
      <c r="AM74" s="210"/>
      <c r="AN74" s="213">
        <f t="shared" si="32"/>
        <v>90586.518750000003</v>
      </c>
      <c r="AO74" s="210"/>
      <c r="AP74" s="210"/>
      <c r="AQ74" s="66">
        <f t="shared" si="33"/>
        <v>523971.80625000008</v>
      </c>
      <c r="AR74" s="66">
        <f t="shared" si="17"/>
        <v>6287.6616750000012</v>
      </c>
    </row>
    <row r="75" spans="1:44" s="204" customFormat="1" ht="15" customHeight="1">
      <c r="A75" s="51">
        <v>52</v>
      </c>
      <c r="B75" s="62" t="s">
        <v>114</v>
      </c>
      <c r="C75" s="63" t="s">
        <v>98</v>
      </c>
      <c r="D75" s="64" t="s">
        <v>50</v>
      </c>
      <c r="E75" s="51" t="s">
        <v>110</v>
      </c>
      <c r="F75" s="261">
        <v>12</v>
      </c>
      <c r="G75" s="214">
        <v>4.8600000000000003</v>
      </c>
      <c r="H75" s="66">
        <v>17697</v>
      </c>
      <c r="I75" s="200">
        <v>2</v>
      </c>
      <c r="J75" s="66">
        <f t="shared" si="18"/>
        <v>172014.84000000003</v>
      </c>
      <c r="K75" s="200">
        <f t="shared" si="20"/>
        <v>0.75</v>
      </c>
      <c r="L75" s="200">
        <f t="shared" si="6"/>
        <v>12</v>
      </c>
      <c r="M75" s="210"/>
      <c r="N75" s="66">
        <f t="shared" si="27"/>
        <v>0</v>
      </c>
      <c r="O75" s="210">
        <v>12</v>
      </c>
      <c r="P75" s="66">
        <f t="shared" si="8"/>
        <v>129011.13000000002</v>
      </c>
      <c r="Q75" s="210"/>
      <c r="R75" s="66">
        <f t="shared" si="28"/>
        <v>0</v>
      </c>
      <c r="S75" s="201">
        <f t="shared" si="29"/>
        <v>32252.782500000005</v>
      </c>
      <c r="T75" s="66">
        <f t="shared" si="30"/>
        <v>161263.91250000003</v>
      </c>
      <c r="U75" s="66">
        <f t="shared" si="12"/>
        <v>16126.391250000004</v>
      </c>
      <c r="V75" s="66">
        <f t="shared" si="31"/>
        <v>32252.782500000008</v>
      </c>
      <c r="W75" s="210"/>
      <c r="X75" s="66">
        <f t="shared" si="1"/>
        <v>0</v>
      </c>
      <c r="Y75" s="211"/>
      <c r="Z75" s="66">
        <f t="shared" si="2"/>
        <v>0</v>
      </c>
      <c r="AA75" s="211"/>
      <c r="AB75" s="66">
        <f t="shared" si="3"/>
        <v>0</v>
      </c>
      <c r="AC75" s="211"/>
      <c r="AD75" s="66">
        <f t="shared" si="14"/>
        <v>0</v>
      </c>
      <c r="AE75" s="212"/>
      <c r="AF75" s="212"/>
      <c r="AG75" s="66">
        <f t="shared" si="15"/>
        <v>48379.173750000009</v>
      </c>
      <c r="AH75" s="66"/>
      <c r="AI75" s="66">
        <f t="shared" si="4"/>
        <v>0</v>
      </c>
      <c r="AJ75" s="210"/>
      <c r="AK75" s="66">
        <f t="shared" si="5"/>
        <v>0</v>
      </c>
      <c r="AL75" s="210"/>
      <c r="AM75" s="210"/>
      <c r="AN75" s="213">
        <f t="shared" si="32"/>
        <v>56442.369375000009</v>
      </c>
      <c r="AO75" s="210"/>
      <c r="AP75" s="210"/>
      <c r="AQ75" s="66">
        <f t="shared" si="33"/>
        <v>314464.62937500008</v>
      </c>
      <c r="AR75" s="66">
        <f t="shared" si="17"/>
        <v>3773.5755525000013</v>
      </c>
    </row>
    <row r="76" spans="1:44" s="215" customFormat="1" ht="15" customHeight="1">
      <c r="A76" s="51">
        <v>53</v>
      </c>
      <c r="B76" s="62" t="s">
        <v>115</v>
      </c>
      <c r="C76" s="63" t="s">
        <v>67</v>
      </c>
      <c r="D76" s="64" t="s">
        <v>50</v>
      </c>
      <c r="E76" s="51" t="s">
        <v>110</v>
      </c>
      <c r="F76" s="261">
        <v>22</v>
      </c>
      <c r="G76" s="214">
        <v>5.12</v>
      </c>
      <c r="H76" s="66">
        <v>17697</v>
      </c>
      <c r="I76" s="200">
        <v>2</v>
      </c>
      <c r="J76" s="66">
        <f t="shared" si="18"/>
        <v>181217.28</v>
      </c>
      <c r="K76" s="200">
        <f t="shared" si="20"/>
        <v>1.0625</v>
      </c>
      <c r="L76" s="200">
        <f t="shared" si="6"/>
        <v>17</v>
      </c>
      <c r="M76" s="210"/>
      <c r="N76" s="66">
        <f t="shared" si="27"/>
        <v>0</v>
      </c>
      <c r="O76" s="210">
        <v>16</v>
      </c>
      <c r="P76" s="66">
        <f t="shared" si="8"/>
        <v>181217.28</v>
      </c>
      <c r="Q76" s="210">
        <v>1</v>
      </c>
      <c r="R76" s="66">
        <f t="shared" si="28"/>
        <v>11326.08</v>
      </c>
      <c r="S76" s="201">
        <f t="shared" si="29"/>
        <v>48135.839999999997</v>
      </c>
      <c r="T76" s="66">
        <f t="shared" si="30"/>
        <v>240679.19999999998</v>
      </c>
      <c r="U76" s="66">
        <f t="shared" si="12"/>
        <v>24067.919999999998</v>
      </c>
      <c r="V76" s="66">
        <f t="shared" si="31"/>
        <v>48135.839999999997</v>
      </c>
      <c r="W76" s="210"/>
      <c r="X76" s="66">
        <f t="shared" si="1"/>
        <v>0</v>
      </c>
      <c r="Y76" s="211"/>
      <c r="Z76" s="66">
        <f t="shared" si="2"/>
        <v>0</v>
      </c>
      <c r="AA76" s="211"/>
      <c r="AB76" s="66">
        <f t="shared" si="3"/>
        <v>0</v>
      </c>
      <c r="AC76" s="211">
        <v>17</v>
      </c>
      <c r="AD76" s="66">
        <f t="shared" si="14"/>
        <v>9401.53125</v>
      </c>
      <c r="AE76" s="212"/>
      <c r="AF76" s="212"/>
      <c r="AG76" s="66">
        <f t="shared" si="15"/>
        <v>72203.759999999995</v>
      </c>
      <c r="AH76" s="66"/>
      <c r="AI76" s="66">
        <f t="shared" si="4"/>
        <v>0</v>
      </c>
      <c r="AJ76" s="210"/>
      <c r="AK76" s="66">
        <f t="shared" si="5"/>
        <v>0</v>
      </c>
      <c r="AL76" s="210"/>
      <c r="AM76" s="210"/>
      <c r="AN76" s="213">
        <f t="shared" si="32"/>
        <v>84237.719999999987</v>
      </c>
      <c r="AO76" s="210"/>
      <c r="AP76" s="210"/>
      <c r="AQ76" s="66">
        <f t="shared" si="33"/>
        <v>478742.97124999994</v>
      </c>
      <c r="AR76" s="66">
        <f t="shared" si="17"/>
        <v>5744.9156549999989</v>
      </c>
    </row>
    <row r="77" spans="1:44" s="215" customFormat="1" ht="15" customHeight="1">
      <c r="A77" s="51">
        <v>54</v>
      </c>
      <c r="B77" s="62" t="s">
        <v>116</v>
      </c>
      <c r="C77" s="63" t="s">
        <v>71</v>
      </c>
      <c r="D77" s="64" t="s">
        <v>50</v>
      </c>
      <c r="E77" s="51" t="s">
        <v>110</v>
      </c>
      <c r="F77" s="261">
        <v>13</v>
      </c>
      <c r="G77" s="214">
        <v>4.95</v>
      </c>
      <c r="H77" s="66">
        <v>17697</v>
      </c>
      <c r="I77" s="200">
        <v>2</v>
      </c>
      <c r="J77" s="66">
        <f t="shared" si="18"/>
        <v>175200.30000000002</v>
      </c>
      <c r="K77" s="200">
        <f t="shared" si="20"/>
        <v>1.375</v>
      </c>
      <c r="L77" s="200">
        <f t="shared" si="6"/>
        <v>22</v>
      </c>
      <c r="M77" s="210"/>
      <c r="N77" s="66">
        <f t="shared" si="27"/>
        <v>0</v>
      </c>
      <c r="O77" s="210">
        <v>16</v>
      </c>
      <c r="P77" s="66">
        <f t="shared" si="8"/>
        <v>175200.30000000002</v>
      </c>
      <c r="Q77" s="210">
        <v>6</v>
      </c>
      <c r="R77" s="66">
        <f t="shared" si="28"/>
        <v>65700.112500000003</v>
      </c>
      <c r="S77" s="201">
        <f t="shared" si="29"/>
        <v>60225.103125000009</v>
      </c>
      <c r="T77" s="66">
        <f t="shared" si="30"/>
        <v>301125.51562500006</v>
      </c>
      <c r="U77" s="66">
        <f t="shared" si="12"/>
        <v>30112.551562500008</v>
      </c>
      <c r="V77" s="66">
        <f t="shared" si="31"/>
        <v>60225.103125000016</v>
      </c>
      <c r="W77" s="210"/>
      <c r="X77" s="66">
        <f t="shared" si="1"/>
        <v>0</v>
      </c>
      <c r="Y77" s="211">
        <v>1</v>
      </c>
      <c r="Z77" s="66">
        <f t="shared" si="2"/>
        <v>10618.199999999999</v>
      </c>
      <c r="AA77" s="211">
        <v>22</v>
      </c>
      <c r="AB77" s="66">
        <f t="shared" si="3"/>
        <v>9733.35</v>
      </c>
      <c r="AC77" s="211"/>
      <c r="AD77" s="66">
        <f t="shared" si="14"/>
        <v>0</v>
      </c>
      <c r="AE77" s="212"/>
      <c r="AF77" s="212"/>
      <c r="AG77" s="66">
        <f t="shared" si="15"/>
        <v>90337.65468750002</v>
      </c>
      <c r="AH77" s="66"/>
      <c r="AI77" s="66">
        <f t="shared" si="4"/>
        <v>0</v>
      </c>
      <c r="AJ77" s="210"/>
      <c r="AK77" s="66">
        <f t="shared" si="5"/>
        <v>0</v>
      </c>
      <c r="AL77" s="210"/>
      <c r="AM77" s="210"/>
      <c r="AN77" s="213">
        <f t="shared" si="32"/>
        <v>105393.93046875001</v>
      </c>
      <c r="AO77" s="210"/>
      <c r="AP77" s="210"/>
      <c r="AQ77" s="66">
        <f t="shared" si="33"/>
        <v>607569.30546875019</v>
      </c>
      <c r="AR77" s="66">
        <f t="shared" si="17"/>
        <v>7290.8316656250026</v>
      </c>
    </row>
    <row r="78" spans="1:44" s="215" customFormat="1" ht="15" customHeight="1">
      <c r="A78" s="51">
        <v>55</v>
      </c>
      <c r="B78" s="62" t="s">
        <v>117</v>
      </c>
      <c r="C78" s="63" t="s">
        <v>55</v>
      </c>
      <c r="D78" s="64" t="s">
        <v>50</v>
      </c>
      <c r="E78" s="51" t="s">
        <v>110</v>
      </c>
      <c r="F78" s="261">
        <v>28</v>
      </c>
      <c r="G78" s="214">
        <v>5.2</v>
      </c>
      <c r="H78" s="66">
        <v>17697</v>
      </c>
      <c r="I78" s="200">
        <v>2</v>
      </c>
      <c r="J78" s="66">
        <f t="shared" si="18"/>
        <v>184048.80000000002</v>
      </c>
      <c r="K78" s="200">
        <f t="shared" si="20"/>
        <v>1.375</v>
      </c>
      <c r="L78" s="200">
        <f t="shared" si="6"/>
        <v>22</v>
      </c>
      <c r="M78" s="210"/>
      <c r="N78" s="66">
        <f t="shared" si="27"/>
        <v>0</v>
      </c>
      <c r="O78" s="210">
        <v>18</v>
      </c>
      <c r="P78" s="66">
        <f t="shared" si="8"/>
        <v>207054.90000000002</v>
      </c>
      <c r="Q78" s="210">
        <v>4</v>
      </c>
      <c r="R78" s="66">
        <f t="shared" si="28"/>
        <v>46012.200000000004</v>
      </c>
      <c r="S78" s="201">
        <f t="shared" si="29"/>
        <v>63266.775000000009</v>
      </c>
      <c r="T78" s="66">
        <f t="shared" si="30"/>
        <v>316333.87500000006</v>
      </c>
      <c r="U78" s="66">
        <f t="shared" si="12"/>
        <v>31633.387500000008</v>
      </c>
      <c r="V78" s="66">
        <f t="shared" si="31"/>
        <v>63266.775000000016</v>
      </c>
      <c r="W78" s="210"/>
      <c r="X78" s="66">
        <f t="shared" si="1"/>
        <v>0</v>
      </c>
      <c r="Y78" s="211"/>
      <c r="Z78" s="66">
        <f t="shared" si="2"/>
        <v>0</v>
      </c>
      <c r="AA78" s="211"/>
      <c r="AB78" s="66">
        <f t="shared" si="3"/>
        <v>0</v>
      </c>
      <c r="AC78" s="211">
        <v>22</v>
      </c>
      <c r="AD78" s="66">
        <f t="shared" si="14"/>
        <v>12166.6875</v>
      </c>
      <c r="AE78" s="212"/>
      <c r="AF78" s="212"/>
      <c r="AG78" s="66">
        <f t="shared" si="15"/>
        <v>94900.16250000002</v>
      </c>
      <c r="AH78" s="66"/>
      <c r="AI78" s="66">
        <f t="shared" si="4"/>
        <v>0</v>
      </c>
      <c r="AJ78" s="210"/>
      <c r="AK78" s="66">
        <f t="shared" si="5"/>
        <v>0</v>
      </c>
      <c r="AL78" s="210"/>
      <c r="AM78" s="210"/>
      <c r="AN78" s="213">
        <f t="shared" si="32"/>
        <v>110716.85625000001</v>
      </c>
      <c r="AO78" s="210"/>
      <c r="AP78" s="210"/>
      <c r="AQ78" s="66">
        <f t="shared" si="33"/>
        <v>629039.74375000014</v>
      </c>
      <c r="AR78" s="66">
        <f t="shared" si="17"/>
        <v>7548.4769250000018</v>
      </c>
    </row>
    <row r="79" spans="1:44" s="215" customFormat="1" ht="15" customHeight="1">
      <c r="A79" s="51">
        <v>56</v>
      </c>
      <c r="B79" s="63" t="s">
        <v>118</v>
      </c>
      <c r="C79" s="63" t="s">
        <v>87</v>
      </c>
      <c r="D79" s="64" t="s">
        <v>50</v>
      </c>
      <c r="E79" s="51" t="s">
        <v>110</v>
      </c>
      <c r="F79" s="261">
        <v>17</v>
      </c>
      <c r="G79" s="214">
        <v>5.03</v>
      </c>
      <c r="H79" s="66">
        <v>17697</v>
      </c>
      <c r="I79" s="200">
        <v>2</v>
      </c>
      <c r="J79" s="66">
        <f t="shared" si="18"/>
        <v>178031.82</v>
      </c>
      <c r="K79" s="200">
        <f t="shared" si="20"/>
        <v>1.125</v>
      </c>
      <c r="L79" s="200">
        <f t="shared" si="6"/>
        <v>18</v>
      </c>
      <c r="M79" s="210"/>
      <c r="N79" s="66">
        <f t="shared" si="27"/>
        <v>0</v>
      </c>
      <c r="O79" s="210">
        <v>13</v>
      </c>
      <c r="P79" s="66">
        <f t="shared" si="8"/>
        <v>144650.85375000001</v>
      </c>
      <c r="Q79" s="210">
        <v>5</v>
      </c>
      <c r="R79" s="66">
        <f t="shared" si="28"/>
        <v>55634.943750000006</v>
      </c>
      <c r="S79" s="201">
        <f t="shared" si="29"/>
        <v>50071.449375000004</v>
      </c>
      <c r="T79" s="66">
        <f t="shared" si="30"/>
        <v>250357.24687500001</v>
      </c>
      <c r="U79" s="66">
        <f t="shared" si="12"/>
        <v>25035.724687500002</v>
      </c>
      <c r="V79" s="66">
        <f t="shared" si="31"/>
        <v>50071.449375000004</v>
      </c>
      <c r="W79" s="210"/>
      <c r="X79" s="66">
        <f t="shared" si="1"/>
        <v>0</v>
      </c>
      <c r="Y79" s="211"/>
      <c r="Z79" s="66">
        <f t="shared" si="2"/>
        <v>0</v>
      </c>
      <c r="AA79" s="211"/>
      <c r="AB79" s="66">
        <f t="shared" si="3"/>
        <v>0</v>
      </c>
      <c r="AC79" s="211"/>
      <c r="AD79" s="66">
        <f t="shared" si="14"/>
        <v>0</v>
      </c>
      <c r="AE79" s="212"/>
      <c r="AF79" s="212"/>
      <c r="AG79" s="66">
        <f t="shared" si="15"/>
        <v>75107.174062499995</v>
      </c>
      <c r="AH79" s="66"/>
      <c r="AI79" s="66">
        <f t="shared" si="4"/>
        <v>0</v>
      </c>
      <c r="AJ79" s="210"/>
      <c r="AK79" s="66">
        <f t="shared" si="5"/>
        <v>0</v>
      </c>
      <c r="AL79" s="210"/>
      <c r="AM79" s="210"/>
      <c r="AN79" s="213">
        <f t="shared" si="32"/>
        <v>87625.036406250001</v>
      </c>
      <c r="AO79" s="210"/>
      <c r="AP79" s="210"/>
      <c r="AQ79" s="66">
        <f t="shared" si="33"/>
        <v>488196.63140625006</v>
      </c>
      <c r="AR79" s="66">
        <f t="shared" si="17"/>
        <v>5858.359576875001</v>
      </c>
    </row>
    <row r="80" spans="1:44" s="215" customFormat="1" ht="15" customHeight="1">
      <c r="A80" s="51">
        <v>57</v>
      </c>
      <c r="B80" s="325" t="s">
        <v>270</v>
      </c>
      <c r="C80" s="63" t="s">
        <v>98</v>
      </c>
      <c r="D80" s="64" t="s">
        <v>50</v>
      </c>
      <c r="E80" s="51" t="s">
        <v>110</v>
      </c>
      <c r="F80" s="261">
        <v>30</v>
      </c>
      <c r="G80" s="214">
        <v>5.2</v>
      </c>
      <c r="H80" s="66">
        <v>17697</v>
      </c>
      <c r="I80" s="200">
        <v>2</v>
      </c>
      <c r="J80" s="66">
        <f t="shared" si="18"/>
        <v>184048.80000000002</v>
      </c>
      <c r="K80" s="200">
        <f>(M80+O80+Q80)/16</f>
        <v>0.375</v>
      </c>
      <c r="L80" s="200">
        <f t="shared" si="6"/>
        <v>6</v>
      </c>
      <c r="M80" s="210"/>
      <c r="N80" s="66">
        <f t="shared" si="27"/>
        <v>0</v>
      </c>
      <c r="O80" s="210">
        <v>6</v>
      </c>
      <c r="P80" s="66">
        <f t="shared" si="8"/>
        <v>69018.3</v>
      </c>
      <c r="Q80" s="210"/>
      <c r="R80" s="66">
        <f t="shared" si="28"/>
        <v>0</v>
      </c>
      <c r="S80" s="201">
        <f t="shared" si="29"/>
        <v>17254.575000000001</v>
      </c>
      <c r="T80" s="66">
        <f t="shared" si="30"/>
        <v>86272.875</v>
      </c>
      <c r="U80" s="66">
        <f t="shared" si="12"/>
        <v>8627.2875000000004</v>
      </c>
      <c r="V80" s="66">
        <f t="shared" si="31"/>
        <v>17254.575000000001</v>
      </c>
      <c r="W80" s="210"/>
      <c r="X80" s="66">
        <f t="shared" si="1"/>
        <v>0</v>
      </c>
      <c r="Y80" s="211"/>
      <c r="Z80" s="66">
        <f t="shared" si="2"/>
        <v>0</v>
      </c>
      <c r="AA80" s="211"/>
      <c r="AB80" s="66">
        <f t="shared" si="3"/>
        <v>0</v>
      </c>
      <c r="AC80" s="211"/>
      <c r="AD80" s="66">
        <f t="shared" si="14"/>
        <v>0</v>
      </c>
      <c r="AE80" s="212"/>
      <c r="AF80" s="212"/>
      <c r="AG80" s="66">
        <f t="shared" si="15"/>
        <v>25881.862499999999</v>
      </c>
      <c r="AH80" s="66"/>
      <c r="AI80" s="66">
        <f t="shared" si="4"/>
        <v>0</v>
      </c>
      <c r="AJ80" s="210"/>
      <c r="AK80" s="66">
        <f t="shared" si="5"/>
        <v>0</v>
      </c>
      <c r="AL80" s="210"/>
      <c r="AM80" s="210"/>
      <c r="AN80" s="213">
        <f t="shared" si="32"/>
        <v>30195.506249999999</v>
      </c>
      <c r="AO80" s="210"/>
      <c r="AP80" s="210"/>
      <c r="AQ80" s="66">
        <f t="shared" si="33"/>
        <v>168232.10625000001</v>
      </c>
      <c r="AR80" s="66">
        <f t="shared" si="17"/>
        <v>2018.7852750000002</v>
      </c>
    </row>
    <row r="81" spans="1:44" s="215" customFormat="1" ht="15" customHeight="1">
      <c r="A81" s="51">
        <v>58</v>
      </c>
      <c r="B81" s="62" t="s">
        <v>119</v>
      </c>
      <c r="C81" s="63" t="s">
        <v>53</v>
      </c>
      <c r="D81" s="64" t="s">
        <v>50</v>
      </c>
      <c r="E81" s="51" t="s">
        <v>110</v>
      </c>
      <c r="F81" s="261">
        <v>13.11</v>
      </c>
      <c r="G81" s="214">
        <v>4.95</v>
      </c>
      <c r="H81" s="66">
        <v>17697</v>
      </c>
      <c r="I81" s="200">
        <v>2</v>
      </c>
      <c r="J81" s="66">
        <f t="shared" si="18"/>
        <v>175200.30000000002</v>
      </c>
      <c r="K81" s="200">
        <f t="shared" si="20"/>
        <v>1.125</v>
      </c>
      <c r="L81" s="200">
        <f t="shared" si="6"/>
        <v>18</v>
      </c>
      <c r="M81" s="210">
        <v>18</v>
      </c>
      <c r="N81" s="66">
        <f t="shared" si="27"/>
        <v>197100.33750000002</v>
      </c>
      <c r="O81" s="210"/>
      <c r="P81" s="66">
        <f t="shared" si="8"/>
        <v>0</v>
      </c>
      <c r="Q81" s="210"/>
      <c r="R81" s="66">
        <f t="shared" si="28"/>
        <v>0</v>
      </c>
      <c r="S81" s="201">
        <f t="shared" si="29"/>
        <v>49275.084375000006</v>
      </c>
      <c r="T81" s="66">
        <f t="shared" si="30"/>
        <v>246375.42187500003</v>
      </c>
      <c r="U81" s="66">
        <f t="shared" si="12"/>
        <v>24637.542187500003</v>
      </c>
      <c r="V81" s="66">
        <f t="shared" si="31"/>
        <v>49275.084375000006</v>
      </c>
      <c r="W81" s="210">
        <v>1</v>
      </c>
      <c r="X81" s="66">
        <f t="shared" si="1"/>
        <v>8848.5</v>
      </c>
      <c r="Y81" s="211"/>
      <c r="Z81" s="66">
        <f t="shared" si="2"/>
        <v>0</v>
      </c>
      <c r="AA81" s="211">
        <v>16</v>
      </c>
      <c r="AB81" s="66">
        <f t="shared" si="3"/>
        <v>7078.8</v>
      </c>
      <c r="AC81" s="211"/>
      <c r="AD81" s="66">
        <f t="shared" si="14"/>
        <v>0</v>
      </c>
      <c r="AE81" s="212"/>
      <c r="AF81" s="212"/>
      <c r="AG81" s="66">
        <f t="shared" si="15"/>
        <v>73912.626562500009</v>
      </c>
      <c r="AH81" s="66"/>
      <c r="AI81" s="66">
        <f t="shared" si="4"/>
        <v>0</v>
      </c>
      <c r="AJ81" s="210"/>
      <c r="AK81" s="66">
        <f t="shared" si="5"/>
        <v>0</v>
      </c>
      <c r="AL81" s="210"/>
      <c r="AM81" s="210"/>
      <c r="AN81" s="213">
        <f t="shared" si="32"/>
        <v>86231.397656250003</v>
      </c>
      <c r="AO81" s="210"/>
      <c r="AP81" s="210"/>
      <c r="AQ81" s="66">
        <f t="shared" si="33"/>
        <v>496376.37265625002</v>
      </c>
      <c r="AR81" s="66">
        <f t="shared" si="17"/>
        <v>5956.5164718750011</v>
      </c>
    </row>
    <row r="82" spans="1:44" s="215" customFormat="1" ht="15" customHeight="1">
      <c r="A82" s="51">
        <v>59</v>
      </c>
      <c r="B82" s="62" t="s">
        <v>120</v>
      </c>
      <c r="C82" s="63" t="s">
        <v>53</v>
      </c>
      <c r="D82" s="64" t="s">
        <v>50</v>
      </c>
      <c r="E82" s="51" t="s">
        <v>110</v>
      </c>
      <c r="F82" s="261">
        <v>31</v>
      </c>
      <c r="G82" s="214">
        <v>5.2</v>
      </c>
      <c r="H82" s="66">
        <v>17697</v>
      </c>
      <c r="I82" s="200">
        <v>2</v>
      </c>
      <c r="J82" s="66">
        <f t="shared" si="18"/>
        <v>184048.80000000002</v>
      </c>
      <c r="K82" s="200">
        <f t="shared" si="20"/>
        <v>1.0625</v>
      </c>
      <c r="L82" s="200">
        <f t="shared" si="6"/>
        <v>17</v>
      </c>
      <c r="M82" s="210">
        <v>17</v>
      </c>
      <c r="N82" s="66">
        <f t="shared" si="27"/>
        <v>195551.85</v>
      </c>
      <c r="O82" s="210"/>
      <c r="P82" s="66">
        <f t="shared" si="8"/>
        <v>0</v>
      </c>
      <c r="Q82" s="210"/>
      <c r="R82" s="66">
        <f t="shared" si="28"/>
        <v>0</v>
      </c>
      <c r="S82" s="201">
        <f t="shared" si="29"/>
        <v>48887.962500000001</v>
      </c>
      <c r="T82" s="66">
        <f t="shared" si="30"/>
        <v>244439.8125</v>
      </c>
      <c r="U82" s="66">
        <f t="shared" si="12"/>
        <v>24443.981250000001</v>
      </c>
      <c r="V82" s="66">
        <f t="shared" si="31"/>
        <v>48887.962500000001</v>
      </c>
      <c r="W82" s="210">
        <v>1</v>
      </c>
      <c r="X82" s="66">
        <f t="shared" si="1"/>
        <v>8848.5</v>
      </c>
      <c r="Y82" s="211"/>
      <c r="Z82" s="66">
        <f t="shared" si="2"/>
        <v>0</v>
      </c>
      <c r="AA82" s="211">
        <v>16</v>
      </c>
      <c r="AB82" s="66">
        <f t="shared" si="3"/>
        <v>7078.8</v>
      </c>
      <c r="AC82" s="211"/>
      <c r="AD82" s="66">
        <f t="shared" si="14"/>
        <v>0</v>
      </c>
      <c r="AE82" s="212"/>
      <c r="AF82" s="212"/>
      <c r="AG82" s="66">
        <f t="shared" si="15"/>
        <v>73331.943749999991</v>
      </c>
      <c r="AH82" s="66"/>
      <c r="AI82" s="66">
        <f t="shared" si="4"/>
        <v>0</v>
      </c>
      <c r="AJ82" s="210"/>
      <c r="AK82" s="66">
        <f t="shared" si="5"/>
        <v>0</v>
      </c>
      <c r="AL82" s="210"/>
      <c r="AM82" s="210"/>
      <c r="AN82" s="213">
        <f t="shared" si="32"/>
        <v>85553.934374999997</v>
      </c>
      <c r="AO82" s="210"/>
      <c r="AP82" s="210"/>
      <c r="AQ82" s="66">
        <f t="shared" si="33"/>
        <v>492601.93437500001</v>
      </c>
      <c r="AR82" s="66">
        <f t="shared" si="17"/>
        <v>5911.2232125</v>
      </c>
    </row>
    <row r="83" spans="1:44" s="215" customFormat="1" ht="15" customHeight="1">
      <c r="A83" s="51">
        <v>60</v>
      </c>
      <c r="B83" s="62" t="s">
        <v>121</v>
      </c>
      <c r="C83" s="63" t="s">
        <v>53</v>
      </c>
      <c r="D83" s="64" t="s">
        <v>50</v>
      </c>
      <c r="E83" s="51" t="s">
        <v>110</v>
      </c>
      <c r="F83" s="261">
        <v>21.07</v>
      </c>
      <c r="G83" s="214">
        <v>5.12</v>
      </c>
      <c r="H83" s="66">
        <v>17697</v>
      </c>
      <c r="I83" s="200">
        <v>2</v>
      </c>
      <c r="J83" s="66">
        <f t="shared" si="18"/>
        <v>181217.28</v>
      </c>
      <c r="K83" s="200">
        <f t="shared" si="20"/>
        <v>1</v>
      </c>
      <c r="L83" s="200">
        <f t="shared" si="6"/>
        <v>16</v>
      </c>
      <c r="M83" s="210">
        <v>16</v>
      </c>
      <c r="N83" s="66">
        <f t="shared" si="27"/>
        <v>181217.28</v>
      </c>
      <c r="O83" s="210"/>
      <c r="P83" s="66">
        <f t="shared" si="8"/>
        <v>0</v>
      </c>
      <c r="Q83" s="210"/>
      <c r="R83" s="66">
        <f t="shared" si="28"/>
        <v>0</v>
      </c>
      <c r="S83" s="201">
        <f t="shared" si="29"/>
        <v>45304.32</v>
      </c>
      <c r="T83" s="66">
        <f t="shared" si="30"/>
        <v>226521.60000000001</v>
      </c>
      <c r="U83" s="66">
        <f t="shared" si="12"/>
        <v>22652.160000000003</v>
      </c>
      <c r="V83" s="66">
        <f t="shared" si="31"/>
        <v>45304.320000000007</v>
      </c>
      <c r="W83" s="210">
        <v>1</v>
      </c>
      <c r="X83" s="66">
        <f t="shared" si="1"/>
        <v>8848.5</v>
      </c>
      <c r="Y83" s="211"/>
      <c r="Z83" s="66">
        <f t="shared" si="2"/>
        <v>0</v>
      </c>
      <c r="AA83" s="211">
        <v>16</v>
      </c>
      <c r="AB83" s="66">
        <f t="shared" si="3"/>
        <v>7078.8</v>
      </c>
      <c r="AC83" s="211"/>
      <c r="AD83" s="66">
        <f t="shared" si="14"/>
        <v>0</v>
      </c>
      <c r="AE83" s="212"/>
      <c r="AF83" s="212"/>
      <c r="AG83" s="66">
        <f t="shared" si="15"/>
        <v>67956.479999999996</v>
      </c>
      <c r="AH83" s="66"/>
      <c r="AI83" s="66">
        <f t="shared" si="4"/>
        <v>0</v>
      </c>
      <c r="AJ83" s="210"/>
      <c r="AK83" s="66">
        <f t="shared" si="5"/>
        <v>0</v>
      </c>
      <c r="AL83" s="210"/>
      <c r="AM83" s="210"/>
      <c r="AN83" s="213">
        <f t="shared" si="32"/>
        <v>79282.559999999998</v>
      </c>
      <c r="AO83" s="210"/>
      <c r="AP83" s="210"/>
      <c r="AQ83" s="66">
        <f t="shared" si="33"/>
        <v>457661.42</v>
      </c>
      <c r="AR83" s="66">
        <f t="shared" si="17"/>
        <v>5491.9370399999998</v>
      </c>
    </row>
    <row r="84" spans="1:44" s="215" customFormat="1" ht="15" customHeight="1">
      <c r="A84" s="51">
        <v>61</v>
      </c>
      <c r="B84" s="62" t="s">
        <v>122</v>
      </c>
      <c r="C84" s="63" t="s">
        <v>67</v>
      </c>
      <c r="D84" s="64" t="s">
        <v>50</v>
      </c>
      <c r="E84" s="51" t="s">
        <v>110</v>
      </c>
      <c r="F84" s="261">
        <v>16.079999999999998</v>
      </c>
      <c r="G84" s="214">
        <v>5.03</v>
      </c>
      <c r="H84" s="66">
        <v>17697</v>
      </c>
      <c r="I84" s="200">
        <v>2</v>
      </c>
      <c r="J84" s="66">
        <f t="shared" si="18"/>
        <v>178031.82</v>
      </c>
      <c r="K84" s="200">
        <f t="shared" si="20"/>
        <v>1.0625</v>
      </c>
      <c r="L84" s="200">
        <f t="shared" si="6"/>
        <v>17</v>
      </c>
      <c r="M84" s="210"/>
      <c r="N84" s="66">
        <f t="shared" si="27"/>
        <v>0</v>
      </c>
      <c r="O84" s="210">
        <v>17</v>
      </c>
      <c r="P84" s="66">
        <f t="shared" si="8"/>
        <v>189158.80875</v>
      </c>
      <c r="Q84" s="210"/>
      <c r="R84" s="66">
        <f t="shared" si="28"/>
        <v>0</v>
      </c>
      <c r="S84" s="201">
        <f t="shared" si="29"/>
        <v>47289.702187499999</v>
      </c>
      <c r="T84" s="66">
        <f t="shared" si="30"/>
        <v>236448.51093749999</v>
      </c>
      <c r="U84" s="66">
        <f t="shared" si="12"/>
        <v>23644.85109375</v>
      </c>
      <c r="V84" s="66">
        <f t="shared" si="31"/>
        <v>47289.702187499999</v>
      </c>
      <c r="W84" s="210"/>
      <c r="X84" s="66">
        <f t="shared" si="1"/>
        <v>0</v>
      </c>
      <c r="Y84" s="211"/>
      <c r="Z84" s="66">
        <f t="shared" si="2"/>
        <v>0</v>
      </c>
      <c r="AA84" s="211"/>
      <c r="AB84" s="66">
        <f t="shared" si="3"/>
        <v>0</v>
      </c>
      <c r="AC84" s="211">
        <v>17</v>
      </c>
      <c r="AD84" s="66">
        <f t="shared" si="14"/>
        <v>9401.53125</v>
      </c>
      <c r="AE84" s="212"/>
      <c r="AF84" s="212"/>
      <c r="AG84" s="66">
        <f t="shared" si="15"/>
        <v>70934.553281249988</v>
      </c>
      <c r="AH84" s="66"/>
      <c r="AI84" s="66">
        <f t="shared" si="4"/>
        <v>0</v>
      </c>
      <c r="AJ84" s="210"/>
      <c r="AK84" s="66">
        <f t="shared" si="5"/>
        <v>0</v>
      </c>
      <c r="AL84" s="210"/>
      <c r="AM84" s="210"/>
      <c r="AN84" s="213">
        <f t="shared" si="32"/>
        <v>82756.978828124993</v>
      </c>
      <c r="AO84" s="210"/>
      <c r="AP84" s="210"/>
      <c r="AQ84" s="66">
        <f t="shared" si="33"/>
        <v>470493.12757812499</v>
      </c>
      <c r="AR84" s="66">
        <f t="shared" si="17"/>
        <v>5645.9175309375005</v>
      </c>
    </row>
    <row r="85" spans="1:44" s="215" customFormat="1" ht="15" customHeight="1">
      <c r="A85" s="51">
        <v>62</v>
      </c>
      <c r="B85" s="62" t="s">
        <v>123</v>
      </c>
      <c r="C85" s="63" t="s">
        <v>87</v>
      </c>
      <c r="D85" s="64" t="s">
        <v>50</v>
      </c>
      <c r="E85" s="51" t="s">
        <v>110</v>
      </c>
      <c r="F85" s="261">
        <v>10</v>
      </c>
      <c r="G85" s="214">
        <v>4.8600000000000003</v>
      </c>
      <c r="H85" s="66">
        <v>17697</v>
      </c>
      <c r="I85" s="200">
        <v>2</v>
      </c>
      <c r="J85" s="66">
        <f t="shared" si="18"/>
        <v>172014.84000000003</v>
      </c>
      <c r="K85" s="200">
        <f t="shared" si="20"/>
        <v>1</v>
      </c>
      <c r="L85" s="200">
        <f t="shared" si="6"/>
        <v>16</v>
      </c>
      <c r="M85" s="210"/>
      <c r="N85" s="66">
        <f t="shared" si="27"/>
        <v>0</v>
      </c>
      <c r="O85" s="210">
        <v>10</v>
      </c>
      <c r="P85" s="66">
        <f t="shared" si="8"/>
        <v>107509.27500000002</v>
      </c>
      <c r="Q85" s="210">
        <v>6</v>
      </c>
      <c r="R85" s="66">
        <f t="shared" si="28"/>
        <v>64505.56500000001</v>
      </c>
      <c r="S85" s="201">
        <f t="shared" si="29"/>
        <v>43003.710000000006</v>
      </c>
      <c r="T85" s="66">
        <f t="shared" si="30"/>
        <v>215018.55000000005</v>
      </c>
      <c r="U85" s="66">
        <f t="shared" si="12"/>
        <v>21501.855000000007</v>
      </c>
      <c r="V85" s="66">
        <f t="shared" si="31"/>
        <v>43003.710000000014</v>
      </c>
      <c r="W85" s="210"/>
      <c r="X85" s="66">
        <f t="shared" si="1"/>
        <v>0</v>
      </c>
      <c r="Y85" s="211">
        <v>1</v>
      </c>
      <c r="Z85" s="66">
        <f t="shared" si="2"/>
        <v>10618.199999999999</v>
      </c>
      <c r="AA85" s="211"/>
      <c r="AB85" s="66">
        <f t="shared" si="3"/>
        <v>0</v>
      </c>
      <c r="AC85" s="211"/>
      <c r="AD85" s="66">
        <f t="shared" si="14"/>
        <v>0</v>
      </c>
      <c r="AE85" s="212"/>
      <c r="AF85" s="212"/>
      <c r="AG85" s="66">
        <f t="shared" si="15"/>
        <v>64505.56500000001</v>
      </c>
      <c r="AH85" s="66"/>
      <c r="AI85" s="66">
        <f t="shared" si="4"/>
        <v>0</v>
      </c>
      <c r="AJ85" s="210"/>
      <c r="AK85" s="66">
        <f t="shared" si="5"/>
        <v>0</v>
      </c>
      <c r="AL85" s="210"/>
      <c r="AM85" s="210"/>
      <c r="AN85" s="213">
        <f t="shared" si="32"/>
        <v>75256.492500000008</v>
      </c>
      <c r="AO85" s="210"/>
      <c r="AP85" s="210"/>
      <c r="AQ85" s="66">
        <f t="shared" si="33"/>
        <v>429905.37250000006</v>
      </c>
      <c r="AR85" s="66">
        <f t="shared" si="17"/>
        <v>5158.8644700000004</v>
      </c>
    </row>
    <row r="86" spans="1:44" s="215" customFormat="1" ht="15" customHeight="1">
      <c r="A86" s="51">
        <v>63</v>
      </c>
      <c r="B86" s="62" t="s">
        <v>125</v>
      </c>
      <c r="C86" s="63" t="s">
        <v>53</v>
      </c>
      <c r="D86" s="64" t="s">
        <v>50</v>
      </c>
      <c r="E86" s="51" t="s">
        <v>110</v>
      </c>
      <c r="F86" s="261">
        <v>25</v>
      </c>
      <c r="G86" s="214">
        <v>5.2</v>
      </c>
      <c r="H86" s="66">
        <v>17697</v>
      </c>
      <c r="I86" s="200">
        <v>2</v>
      </c>
      <c r="J86" s="66">
        <f t="shared" si="18"/>
        <v>184048.80000000002</v>
      </c>
      <c r="K86" s="200">
        <f t="shared" si="20"/>
        <v>1.0625</v>
      </c>
      <c r="L86" s="200">
        <f t="shared" si="6"/>
        <v>17</v>
      </c>
      <c r="M86" s="210">
        <v>17</v>
      </c>
      <c r="N86" s="66">
        <f t="shared" si="27"/>
        <v>195551.85</v>
      </c>
      <c r="O86" s="210"/>
      <c r="P86" s="66">
        <f t="shared" si="8"/>
        <v>0</v>
      </c>
      <c r="Q86" s="210"/>
      <c r="R86" s="66">
        <f t="shared" si="28"/>
        <v>0</v>
      </c>
      <c r="S86" s="201">
        <f t="shared" si="29"/>
        <v>48887.962500000001</v>
      </c>
      <c r="T86" s="66">
        <f t="shared" si="30"/>
        <v>244439.8125</v>
      </c>
      <c r="U86" s="66">
        <f t="shared" si="12"/>
        <v>24443.981250000001</v>
      </c>
      <c r="V86" s="66">
        <f t="shared" si="31"/>
        <v>48887.962500000001</v>
      </c>
      <c r="W86" s="210">
        <v>1</v>
      </c>
      <c r="X86" s="66">
        <f t="shared" si="1"/>
        <v>8848.5</v>
      </c>
      <c r="Y86" s="211"/>
      <c r="Z86" s="66">
        <f t="shared" si="2"/>
        <v>0</v>
      </c>
      <c r="AA86" s="211">
        <v>16</v>
      </c>
      <c r="AB86" s="66">
        <f t="shared" si="3"/>
        <v>7078.8</v>
      </c>
      <c r="AC86" s="211"/>
      <c r="AD86" s="66">
        <f t="shared" si="14"/>
        <v>0</v>
      </c>
      <c r="AE86" s="212"/>
      <c r="AF86" s="212"/>
      <c r="AG86" s="66">
        <f t="shared" si="15"/>
        <v>73331.943749999991</v>
      </c>
      <c r="AH86" s="66"/>
      <c r="AI86" s="66">
        <f t="shared" si="4"/>
        <v>0</v>
      </c>
      <c r="AJ86" s="210"/>
      <c r="AK86" s="66">
        <f t="shared" si="5"/>
        <v>0</v>
      </c>
      <c r="AL86" s="210"/>
      <c r="AM86" s="210"/>
      <c r="AN86" s="213">
        <f t="shared" si="32"/>
        <v>85553.934374999997</v>
      </c>
      <c r="AO86" s="210"/>
      <c r="AP86" s="210"/>
      <c r="AQ86" s="66">
        <f t="shared" si="33"/>
        <v>492601.93437500001</v>
      </c>
      <c r="AR86" s="66">
        <f t="shared" si="17"/>
        <v>5911.2232125</v>
      </c>
    </row>
    <row r="87" spans="1:44" s="215" customFormat="1" ht="15" customHeight="1">
      <c r="A87" s="51">
        <v>64</v>
      </c>
      <c r="B87" s="216" t="s">
        <v>165</v>
      </c>
      <c r="C87" s="217" t="s">
        <v>71</v>
      </c>
      <c r="D87" s="64" t="s">
        <v>50</v>
      </c>
      <c r="E87" s="51" t="s">
        <v>110</v>
      </c>
      <c r="F87" s="408" t="s">
        <v>536</v>
      </c>
      <c r="G87" s="214">
        <v>4.8600000000000003</v>
      </c>
      <c r="H87" s="66">
        <v>17697</v>
      </c>
      <c r="I87" s="200">
        <v>2</v>
      </c>
      <c r="J87" s="66">
        <f t="shared" si="18"/>
        <v>172014.84000000003</v>
      </c>
      <c r="K87" s="200">
        <f>(M87+O87+Q87)/16</f>
        <v>1.25</v>
      </c>
      <c r="L87" s="200">
        <f t="shared" si="6"/>
        <v>20</v>
      </c>
      <c r="M87" s="210"/>
      <c r="N87" s="66">
        <f t="shared" si="27"/>
        <v>0</v>
      </c>
      <c r="O87" s="210">
        <v>20</v>
      </c>
      <c r="P87" s="66">
        <f t="shared" si="8"/>
        <v>215018.55000000005</v>
      </c>
      <c r="Q87" s="210"/>
      <c r="R87" s="66">
        <f t="shared" si="28"/>
        <v>0</v>
      </c>
      <c r="S87" s="201">
        <f t="shared" si="29"/>
        <v>53754.637500000012</v>
      </c>
      <c r="T87" s="66">
        <f t="shared" si="30"/>
        <v>268773.18750000006</v>
      </c>
      <c r="U87" s="66">
        <f t="shared" si="12"/>
        <v>26877.318750000006</v>
      </c>
      <c r="V87" s="66">
        <f t="shared" si="31"/>
        <v>53754.637500000012</v>
      </c>
      <c r="W87" s="210"/>
      <c r="X87" s="66">
        <f t="shared" ref="X87:X99" si="34">(H87*W87)*50%</f>
        <v>0</v>
      </c>
      <c r="Y87" s="211"/>
      <c r="Z87" s="66">
        <f t="shared" ref="Z87:Z98" si="35">H87*Y87*60%</f>
        <v>0</v>
      </c>
      <c r="AA87" s="210">
        <v>20</v>
      </c>
      <c r="AB87" s="66">
        <f t="shared" ref="AB87:AB99" si="36">((H87*40%/16*AA87))</f>
        <v>8848.5</v>
      </c>
      <c r="AC87" s="211"/>
      <c r="AD87" s="66">
        <f t="shared" si="14"/>
        <v>0</v>
      </c>
      <c r="AE87" s="212"/>
      <c r="AF87" s="212"/>
      <c r="AG87" s="66">
        <f t="shared" si="15"/>
        <v>80631.956250000017</v>
      </c>
      <c r="AH87" s="66"/>
      <c r="AI87" s="66">
        <f t="shared" ref="AI87:AI99" si="37">((H87*20%/16*AH87))</f>
        <v>0</v>
      </c>
      <c r="AJ87" s="210"/>
      <c r="AK87" s="66">
        <f t="shared" ref="AK87:AK99" si="38">((H87*40%/16*AJ87))</f>
        <v>0</v>
      </c>
      <c r="AL87" s="210"/>
      <c r="AM87" s="213"/>
      <c r="AN87" s="213">
        <f t="shared" si="32"/>
        <v>94070.61562500002</v>
      </c>
      <c r="AO87" s="210"/>
      <c r="AP87" s="210"/>
      <c r="AQ87" s="66">
        <f t="shared" si="33"/>
        <v>532976.21562500007</v>
      </c>
      <c r="AR87" s="66">
        <f t="shared" si="17"/>
        <v>6395.7145875000006</v>
      </c>
    </row>
    <row r="88" spans="1:44" s="204" customFormat="1" ht="15" customHeight="1">
      <c r="A88" s="51">
        <v>65</v>
      </c>
      <c r="B88" s="81" t="s">
        <v>160</v>
      </c>
      <c r="C88" s="63" t="s">
        <v>98</v>
      </c>
      <c r="D88" s="64" t="s">
        <v>50</v>
      </c>
      <c r="E88" s="51" t="s">
        <v>110</v>
      </c>
      <c r="F88" s="261">
        <v>30</v>
      </c>
      <c r="G88" s="214">
        <v>5.2</v>
      </c>
      <c r="H88" s="66">
        <v>17697</v>
      </c>
      <c r="I88" s="200">
        <v>2</v>
      </c>
      <c r="J88" s="66">
        <f t="shared" si="18"/>
        <v>184048.80000000002</v>
      </c>
      <c r="K88" s="200">
        <f>(M88+O88+Q88)/16</f>
        <v>1</v>
      </c>
      <c r="L88" s="200">
        <f t="shared" ref="L88:L151" si="39">M88+O88+Q88</f>
        <v>16</v>
      </c>
      <c r="M88" s="210"/>
      <c r="N88" s="66">
        <f t="shared" si="27"/>
        <v>0</v>
      </c>
      <c r="O88" s="210">
        <v>15</v>
      </c>
      <c r="P88" s="66">
        <f t="shared" ref="P88:P151" si="40">J88/16*O88</f>
        <v>172545.75000000003</v>
      </c>
      <c r="Q88" s="210">
        <v>1</v>
      </c>
      <c r="R88" s="66">
        <f t="shared" si="28"/>
        <v>11503.050000000001</v>
      </c>
      <c r="S88" s="201">
        <f t="shared" si="29"/>
        <v>46012.200000000004</v>
      </c>
      <c r="T88" s="66">
        <f t="shared" si="30"/>
        <v>230061.00000000003</v>
      </c>
      <c r="U88" s="66">
        <f t="shared" ref="U88:U151" si="41">T88*10%</f>
        <v>23006.100000000006</v>
      </c>
      <c r="V88" s="66">
        <f t="shared" si="31"/>
        <v>46012.200000000012</v>
      </c>
      <c r="W88" s="210"/>
      <c r="X88" s="66">
        <f t="shared" si="34"/>
        <v>0</v>
      </c>
      <c r="Y88" s="211"/>
      <c r="Z88" s="66">
        <f t="shared" si="35"/>
        <v>0</v>
      </c>
      <c r="AA88" s="211"/>
      <c r="AB88" s="66">
        <f t="shared" si="36"/>
        <v>0</v>
      </c>
      <c r="AC88" s="211"/>
      <c r="AD88" s="66">
        <f t="shared" ref="AD88:AD99" si="42">((H88*50%/16*AC88))</f>
        <v>0</v>
      </c>
      <c r="AE88" s="212"/>
      <c r="AF88" s="212"/>
      <c r="AG88" s="66">
        <f t="shared" ref="AG88:AG99" si="43">T88*30%</f>
        <v>69018.3</v>
      </c>
      <c r="AH88" s="66"/>
      <c r="AI88" s="66">
        <f t="shared" si="37"/>
        <v>0</v>
      </c>
      <c r="AJ88" s="210"/>
      <c r="AK88" s="66">
        <f t="shared" si="38"/>
        <v>0</v>
      </c>
      <c r="AL88" s="210"/>
      <c r="AM88" s="210"/>
      <c r="AN88" s="213">
        <f t="shared" si="32"/>
        <v>80521.350000000006</v>
      </c>
      <c r="AO88" s="210"/>
      <c r="AP88" s="210"/>
      <c r="AQ88" s="66">
        <f t="shared" si="33"/>
        <v>448618.95000000007</v>
      </c>
      <c r="AR88" s="66">
        <f t="shared" ref="AR88:AR99" si="44">AQ88*12/1000</f>
        <v>5383.4274000000005</v>
      </c>
    </row>
    <row r="89" spans="1:44" s="215" customFormat="1" ht="15" customHeight="1">
      <c r="A89" s="51">
        <v>66</v>
      </c>
      <c r="B89" s="218" t="s">
        <v>134</v>
      </c>
      <c r="C89" s="217" t="s">
        <v>71</v>
      </c>
      <c r="D89" s="64" t="s">
        <v>50</v>
      </c>
      <c r="E89" s="51" t="s">
        <v>110</v>
      </c>
      <c r="F89" s="409" t="s">
        <v>537</v>
      </c>
      <c r="G89" s="214">
        <v>4.79</v>
      </c>
      <c r="H89" s="66">
        <v>17697</v>
      </c>
      <c r="I89" s="200">
        <v>2</v>
      </c>
      <c r="J89" s="66">
        <f t="shared" si="18"/>
        <v>169537.26</v>
      </c>
      <c r="K89" s="200">
        <f>(M89+O89+Q89)/16</f>
        <v>1.25</v>
      </c>
      <c r="L89" s="200">
        <f t="shared" si="39"/>
        <v>20</v>
      </c>
      <c r="M89" s="210"/>
      <c r="N89" s="66">
        <f t="shared" si="27"/>
        <v>0</v>
      </c>
      <c r="O89" s="210">
        <v>20</v>
      </c>
      <c r="P89" s="66">
        <f t="shared" si="40"/>
        <v>211921.57500000001</v>
      </c>
      <c r="Q89" s="210"/>
      <c r="R89" s="66">
        <f t="shared" si="28"/>
        <v>0</v>
      </c>
      <c r="S89" s="201">
        <f t="shared" si="29"/>
        <v>52980.393750000003</v>
      </c>
      <c r="T89" s="66">
        <f t="shared" si="30"/>
        <v>264901.96875</v>
      </c>
      <c r="U89" s="66">
        <f t="shared" si="41"/>
        <v>26490.196875000001</v>
      </c>
      <c r="V89" s="66">
        <f t="shared" si="31"/>
        <v>52980.393750000003</v>
      </c>
      <c r="W89" s="210"/>
      <c r="X89" s="66">
        <f t="shared" si="34"/>
        <v>0</v>
      </c>
      <c r="Y89" s="211"/>
      <c r="Z89" s="66">
        <f t="shared" si="35"/>
        <v>0</v>
      </c>
      <c r="AA89" s="210">
        <v>20</v>
      </c>
      <c r="AB89" s="66">
        <f t="shared" si="36"/>
        <v>8848.5</v>
      </c>
      <c r="AC89" s="211"/>
      <c r="AD89" s="66">
        <f t="shared" si="42"/>
        <v>0</v>
      </c>
      <c r="AE89" s="212"/>
      <c r="AF89" s="212"/>
      <c r="AG89" s="66">
        <f t="shared" si="43"/>
        <v>79470.590624999997</v>
      </c>
      <c r="AH89" s="66"/>
      <c r="AI89" s="66">
        <f t="shared" si="37"/>
        <v>0</v>
      </c>
      <c r="AJ89" s="210"/>
      <c r="AK89" s="66">
        <f t="shared" si="38"/>
        <v>0</v>
      </c>
      <c r="AL89" s="210"/>
      <c r="AM89" s="213"/>
      <c r="AN89" s="213">
        <f t="shared" si="32"/>
        <v>92715.689062499994</v>
      </c>
      <c r="AO89" s="210"/>
      <c r="AP89" s="210"/>
      <c r="AQ89" s="66">
        <f t="shared" si="33"/>
        <v>525427.33906250005</v>
      </c>
      <c r="AR89" s="66">
        <f t="shared" si="44"/>
        <v>6305.1280687500002</v>
      </c>
    </row>
    <row r="90" spans="1:44" s="215" customFormat="1" ht="15" customHeight="1">
      <c r="A90" s="51">
        <v>67</v>
      </c>
      <c r="B90" s="81" t="s">
        <v>175</v>
      </c>
      <c r="C90" s="63" t="s">
        <v>799</v>
      </c>
      <c r="D90" s="64" t="s">
        <v>50</v>
      </c>
      <c r="E90" s="51" t="s">
        <v>110</v>
      </c>
      <c r="F90" s="261">
        <v>19.11</v>
      </c>
      <c r="G90" s="214">
        <v>5.03</v>
      </c>
      <c r="H90" s="66">
        <v>17697</v>
      </c>
      <c r="I90" s="200">
        <v>2</v>
      </c>
      <c r="J90" s="66">
        <f t="shared" si="18"/>
        <v>178031.82</v>
      </c>
      <c r="K90" s="200">
        <f>(M90+O90+Q90)/16</f>
        <v>1</v>
      </c>
      <c r="L90" s="200">
        <f t="shared" si="39"/>
        <v>16</v>
      </c>
      <c r="M90" s="210"/>
      <c r="N90" s="66">
        <f t="shared" si="27"/>
        <v>0</v>
      </c>
      <c r="O90" s="210">
        <v>12</v>
      </c>
      <c r="P90" s="66">
        <f t="shared" si="40"/>
        <v>133523.86499999999</v>
      </c>
      <c r="Q90" s="210">
        <v>4</v>
      </c>
      <c r="R90" s="66">
        <f t="shared" si="28"/>
        <v>44507.955000000002</v>
      </c>
      <c r="S90" s="201">
        <f t="shared" si="29"/>
        <v>44507.955000000002</v>
      </c>
      <c r="T90" s="66">
        <f t="shared" si="30"/>
        <v>222539.77500000002</v>
      </c>
      <c r="U90" s="66">
        <f t="shared" si="41"/>
        <v>22253.977500000005</v>
      </c>
      <c r="V90" s="66">
        <f t="shared" si="31"/>
        <v>44507.955000000009</v>
      </c>
      <c r="W90" s="210"/>
      <c r="X90" s="66">
        <f t="shared" si="34"/>
        <v>0</v>
      </c>
      <c r="Y90" s="211">
        <v>1</v>
      </c>
      <c r="Z90" s="66">
        <f t="shared" si="35"/>
        <v>10618.199999999999</v>
      </c>
      <c r="AA90" s="210">
        <v>4</v>
      </c>
      <c r="AB90" s="66">
        <f t="shared" si="36"/>
        <v>1769.7</v>
      </c>
      <c r="AC90" s="211"/>
      <c r="AD90" s="66">
        <f t="shared" si="42"/>
        <v>0</v>
      </c>
      <c r="AE90" s="212"/>
      <c r="AF90" s="212"/>
      <c r="AG90" s="66">
        <f t="shared" si="43"/>
        <v>66761.93250000001</v>
      </c>
      <c r="AH90" s="66"/>
      <c r="AI90" s="66">
        <f t="shared" si="37"/>
        <v>0</v>
      </c>
      <c r="AJ90" s="210"/>
      <c r="AK90" s="66">
        <f t="shared" si="38"/>
        <v>0</v>
      </c>
      <c r="AL90" s="210"/>
      <c r="AM90" s="213"/>
      <c r="AN90" s="213">
        <f t="shared" si="32"/>
        <v>77888.921249999999</v>
      </c>
      <c r="AO90" s="210"/>
      <c r="AP90" s="210"/>
      <c r="AQ90" s="66">
        <f t="shared" si="33"/>
        <v>446345.46125000005</v>
      </c>
      <c r="AR90" s="66">
        <f t="shared" si="44"/>
        <v>5356.1455350000006</v>
      </c>
    </row>
    <row r="91" spans="1:44" s="215" customFormat="1" ht="15" customHeight="1">
      <c r="A91" s="51">
        <v>68</v>
      </c>
      <c r="B91" s="216" t="s">
        <v>162</v>
      </c>
      <c r="C91" s="217" t="s">
        <v>98</v>
      </c>
      <c r="D91" s="64" t="s">
        <v>50</v>
      </c>
      <c r="E91" s="51" t="s">
        <v>110</v>
      </c>
      <c r="F91" s="408" t="s">
        <v>538</v>
      </c>
      <c r="G91" s="214">
        <v>4.95</v>
      </c>
      <c r="H91" s="66">
        <v>17697</v>
      </c>
      <c r="I91" s="200">
        <v>2</v>
      </c>
      <c r="J91" s="66">
        <f t="shared" si="18"/>
        <v>175200.30000000002</v>
      </c>
      <c r="K91" s="200">
        <f>(M91+O91+Q91)/16</f>
        <v>0.9375</v>
      </c>
      <c r="L91" s="200">
        <f t="shared" si="39"/>
        <v>15</v>
      </c>
      <c r="M91" s="210">
        <v>15</v>
      </c>
      <c r="N91" s="66">
        <f t="shared" si="27"/>
        <v>164250.28125000003</v>
      </c>
      <c r="O91" s="210"/>
      <c r="P91" s="66">
        <f t="shared" si="40"/>
        <v>0</v>
      </c>
      <c r="Q91" s="210"/>
      <c r="R91" s="66">
        <f t="shared" si="28"/>
        <v>0</v>
      </c>
      <c r="S91" s="201">
        <f t="shared" si="29"/>
        <v>41062.570312500007</v>
      </c>
      <c r="T91" s="66">
        <f t="shared" si="30"/>
        <v>205312.85156250003</v>
      </c>
      <c r="U91" s="66">
        <f t="shared" si="41"/>
        <v>20531.285156250004</v>
      </c>
      <c r="V91" s="66">
        <f t="shared" si="31"/>
        <v>41062.570312500007</v>
      </c>
      <c r="W91" s="210"/>
      <c r="X91" s="66">
        <f t="shared" si="34"/>
        <v>0</v>
      </c>
      <c r="Y91" s="211"/>
      <c r="Z91" s="66">
        <f t="shared" si="35"/>
        <v>0</v>
      </c>
      <c r="AA91" s="210"/>
      <c r="AB91" s="66">
        <f t="shared" si="36"/>
        <v>0</v>
      </c>
      <c r="AC91" s="211"/>
      <c r="AD91" s="66">
        <f t="shared" si="42"/>
        <v>0</v>
      </c>
      <c r="AE91" s="212"/>
      <c r="AF91" s="212"/>
      <c r="AG91" s="66">
        <f t="shared" si="43"/>
        <v>61593.855468750007</v>
      </c>
      <c r="AH91" s="66"/>
      <c r="AI91" s="66">
        <f t="shared" si="37"/>
        <v>0</v>
      </c>
      <c r="AJ91" s="210"/>
      <c r="AK91" s="66">
        <f t="shared" si="38"/>
        <v>0</v>
      </c>
      <c r="AL91" s="210"/>
      <c r="AM91" s="213"/>
      <c r="AN91" s="213">
        <f t="shared" si="32"/>
        <v>71859.498046875</v>
      </c>
      <c r="AO91" s="210"/>
      <c r="AP91" s="210"/>
      <c r="AQ91" s="66">
        <f t="shared" si="33"/>
        <v>400360.06054687506</v>
      </c>
      <c r="AR91" s="66">
        <f t="shared" si="44"/>
        <v>4804.3207265625006</v>
      </c>
    </row>
    <row r="92" spans="1:44" s="215" customFormat="1" ht="15" customHeight="1">
      <c r="A92" s="51">
        <v>69</v>
      </c>
      <c r="B92" s="216" t="s">
        <v>459</v>
      </c>
      <c r="C92" s="217" t="s">
        <v>87</v>
      </c>
      <c r="D92" s="64" t="s">
        <v>50</v>
      </c>
      <c r="E92" s="51" t="s">
        <v>110</v>
      </c>
      <c r="F92" s="408" t="s">
        <v>539</v>
      </c>
      <c r="G92" s="214">
        <v>5.03</v>
      </c>
      <c r="H92" s="66">
        <v>17697</v>
      </c>
      <c r="I92" s="200">
        <v>2</v>
      </c>
      <c r="J92" s="66">
        <f t="shared" si="18"/>
        <v>178031.82</v>
      </c>
      <c r="K92" s="200">
        <v>0</v>
      </c>
      <c r="L92" s="200">
        <f t="shared" si="39"/>
        <v>16</v>
      </c>
      <c r="M92" s="210"/>
      <c r="N92" s="66">
        <f t="shared" si="27"/>
        <v>0</v>
      </c>
      <c r="O92" s="210">
        <v>1</v>
      </c>
      <c r="P92" s="66">
        <f t="shared" si="40"/>
        <v>11126.98875</v>
      </c>
      <c r="Q92" s="210">
        <v>15</v>
      </c>
      <c r="R92" s="66">
        <f t="shared" si="28"/>
        <v>166904.83125000002</v>
      </c>
      <c r="S92" s="201">
        <f t="shared" si="29"/>
        <v>44507.955000000002</v>
      </c>
      <c r="T92" s="66">
        <f t="shared" si="30"/>
        <v>222539.77500000002</v>
      </c>
      <c r="U92" s="66">
        <f t="shared" si="41"/>
        <v>22253.977500000005</v>
      </c>
      <c r="V92" s="66">
        <f t="shared" si="31"/>
        <v>44507.955000000009</v>
      </c>
      <c r="W92" s="210"/>
      <c r="X92" s="66">
        <f t="shared" si="34"/>
        <v>0</v>
      </c>
      <c r="Y92" s="211"/>
      <c r="Z92" s="66">
        <f t="shared" si="35"/>
        <v>0</v>
      </c>
      <c r="AA92" s="210"/>
      <c r="AB92" s="66">
        <f t="shared" si="36"/>
        <v>0</v>
      </c>
      <c r="AC92" s="211"/>
      <c r="AD92" s="66">
        <f t="shared" si="42"/>
        <v>0</v>
      </c>
      <c r="AE92" s="212"/>
      <c r="AF92" s="212"/>
      <c r="AG92" s="66">
        <f t="shared" si="43"/>
        <v>66761.93250000001</v>
      </c>
      <c r="AH92" s="66"/>
      <c r="AI92" s="66">
        <f t="shared" si="37"/>
        <v>0</v>
      </c>
      <c r="AJ92" s="210"/>
      <c r="AK92" s="66">
        <f t="shared" si="38"/>
        <v>0</v>
      </c>
      <c r="AL92" s="210"/>
      <c r="AM92" s="213"/>
      <c r="AN92" s="213">
        <f t="shared" si="32"/>
        <v>77888.921249999999</v>
      </c>
      <c r="AO92" s="210"/>
      <c r="AP92" s="210"/>
      <c r="AQ92" s="66">
        <f t="shared" si="33"/>
        <v>433952.56125000003</v>
      </c>
      <c r="AR92" s="66">
        <f t="shared" si="44"/>
        <v>5207.4307349999999</v>
      </c>
    </row>
    <row r="93" spans="1:44" s="215" customFormat="1" ht="15" customHeight="1">
      <c r="A93" s="51">
        <v>70</v>
      </c>
      <c r="B93" s="216" t="s">
        <v>451</v>
      </c>
      <c r="C93" s="217" t="s">
        <v>55</v>
      </c>
      <c r="D93" s="64" t="s">
        <v>50</v>
      </c>
      <c r="E93" s="51" t="s">
        <v>110</v>
      </c>
      <c r="F93" s="408" t="s">
        <v>540</v>
      </c>
      <c r="G93" s="214">
        <v>4.95</v>
      </c>
      <c r="H93" s="66">
        <v>17697</v>
      </c>
      <c r="I93" s="200">
        <v>2</v>
      </c>
      <c r="J93" s="66">
        <f t="shared" si="18"/>
        <v>175200.30000000002</v>
      </c>
      <c r="K93" s="200">
        <v>0</v>
      </c>
      <c r="L93" s="200">
        <f t="shared" si="39"/>
        <v>21</v>
      </c>
      <c r="M93" s="210">
        <v>6</v>
      </c>
      <c r="N93" s="66">
        <f t="shared" si="27"/>
        <v>65700.112500000003</v>
      </c>
      <c r="O93" s="210">
        <v>15</v>
      </c>
      <c r="P93" s="66">
        <f t="shared" si="40"/>
        <v>164250.28125000003</v>
      </c>
      <c r="Q93" s="210"/>
      <c r="R93" s="66">
        <f t="shared" si="28"/>
        <v>0</v>
      </c>
      <c r="S93" s="201">
        <f t="shared" si="29"/>
        <v>57487.598437500012</v>
      </c>
      <c r="T93" s="66">
        <f t="shared" si="30"/>
        <v>287437.99218750006</v>
      </c>
      <c r="U93" s="66">
        <f t="shared" si="41"/>
        <v>28743.799218750006</v>
      </c>
      <c r="V93" s="66">
        <f t="shared" si="31"/>
        <v>57487.598437500012</v>
      </c>
      <c r="W93" s="210"/>
      <c r="X93" s="66">
        <f t="shared" si="34"/>
        <v>0</v>
      </c>
      <c r="Y93" s="211"/>
      <c r="Z93" s="66">
        <f t="shared" si="35"/>
        <v>0</v>
      </c>
      <c r="AA93" s="210"/>
      <c r="AB93" s="66">
        <f t="shared" si="36"/>
        <v>0</v>
      </c>
      <c r="AC93" s="211">
        <v>21</v>
      </c>
      <c r="AD93" s="66">
        <f t="shared" si="42"/>
        <v>11613.65625</v>
      </c>
      <c r="AE93" s="212"/>
      <c r="AF93" s="212"/>
      <c r="AG93" s="66">
        <f t="shared" si="43"/>
        <v>86231.397656250017</v>
      </c>
      <c r="AH93" s="66"/>
      <c r="AI93" s="66">
        <f t="shared" si="37"/>
        <v>0</v>
      </c>
      <c r="AJ93" s="210"/>
      <c r="AK93" s="66">
        <f t="shared" si="38"/>
        <v>0</v>
      </c>
      <c r="AL93" s="210"/>
      <c r="AM93" s="213"/>
      <c r="AN93" s="213">
        <f t="shared" si="32"/>
        <v>100603.29726562502</v>
      </c>
      <c r="AO93" s="210"/>
      <c r="AP93" s="210"/>
      <c r="AQ93" s="66">
        <f t="shared" si="33"/>
        <v>572138.74101562507</v>
      </c>
      <c r="AR93" s="66">
        <f t="shared" si="44"/>
        <v>6865.6648921875003</v>
      </c>
    </row>
    <row r="94" spans="1:44" s="204" customFormat="1" ht="15" customHeight="1">
      <c r="A94" s="51">
        <v>71</v>
      </c>
      <c r="B94" s="62" t="s">
        <v>457</v>
      </c>
      <c r="C94" s="63" t="s">
        <v>85</v>
      </c>
      <c r="D94" s="64" t="s">
        <v>50</v>
      </c>
      <c r="E94" s="51" t="s">
        <v>110</v>
      </c>
      <c r="F94" s="408" t="s">
        <v>541</v>
      </c>
      <c r="G94" s="214">
        <v>5.2</v>
      </c>
      <c r="H94" s="66">
        <v>17697</v>
      </c>
      <c r="I94" s="200">
        <v>2</v>
      </c>
      <c r="J94" s="66">
        <f t="shared" si="18"/>
        <v>184048.80000000002</v>
      </c>
      <c r="K94" s="200">
        <f>(M94+O94+Q94)/16</f>
        <v>0.34375</v>
      </c>
      <c r="L94" s="200">
        <f t="shared" si="39"/>
        <v>5.5</v>
      </c>
      <c r="M94" s="51"/>
      <c r="N94" s="66">
        <f t="shared" si="27"/>
        <v>0</v>
      </c>
      <c r="O94" s="407">
        <v>3.5</v>
      </c>
      <c r="P94" s="66">
        <f t="shared" si="40"/>
        <v>40260.675000000003</v>
      </c>
      <c r="Q94" s="396">
        <v>2</v>
      </c>
      <c r="R94" s="66">
        <f t="shared" si="28"/>
        <v>23006.100000000002</v>
      </c>
      <c r="S94" s="201">
        <f t="shared" si="29"/>
        <v>15816.693750000002</v>
      </c>
      <c r="T94" s="66">
        <f t="shared" si="30"/>
        <v>79083.468750000015</v>
      </c>
      <c r="U94" s="66">
        <f t="shared" si="41"/>
        <v>7908.346875000002</v>
      </c>
      <c r="V94" s="66">
        <f t="shared" si="31"/>
        <v>15816.693750000004</v>
      </c>
      <c r="W94" s="202"/>
      <c r="X94" s="66">
        <f t="shared" si="34"/>
        <v>0</v>
      </c>
      <c r="Y94" s="67"/>
      <c r="Z94" s="66">
        <f t="shared" si="35"/>
        <v>0</v>
      </c>
      <c r="AA94" s="67"/>
      <c r="AB94" s="66">
        <f t="shared" si="36"/>
        <v>0</v>
      </c>
      <c r="AC94" s="67"/>
      <c r="AD94" s="66">
        <f t="shared" si="42"/>
        <v>0</v>
      </c>
      <c r="AE94" s="68"/>
      <c r="AF94" s="66"/>
      <c r="AG94" s="66">
        <f t="shared" si="43"/>
        <v>23725.040625000005</v>
      </c>
      <c r="AH94" s="66"/>
      <c r="AI94" s="66">
        <f t="shared" si="37"/>
        <v>0</v>
      </c>
      <c r="AJ94" s="203"/>
      <c r="AK94" s="66">
        <f t="shared" si="38"/>
        <v>0</v>
      </c>
      <c r="AL94" s="66"/>
      <c r="AM94" s="66"/>
      <c r="AN94" s="213">
        <f t="shared" si="32"/>
        <v>27679.214062500003</v>
      </c>
      <c r="AO94" s="66"/>
      <c r="AP94" s="66"/>
      <c r="AQ94" s="66">
        <f t="shared" si="33"/>
        <v>154212.76406250003</v>
      </c>
      <c r="AR94" s="66">
        <f t="shared" si="44"/>
        <v>1850.5531687500004</v>
      </c>
    </row>
    <row r="95" spans="1:44" s="215" customFormat="1" ht="15" customHeight="1">
      <c r="A95" s="51">
        <v>72</v>
      </c>
      <c r="B95" s="62" t="s">
        <v>126</v>
      </c>
      <c r="C95" s="63" t="s">
        <v>100</v>
      </c>
      <c r="D95" s="64" t="s">
        <v>50</v>
      </c>
      <c r="E95" s="51" t="s">
        <v>110</v>
      </c>
      <c r="F95" s="261">
        <v>19</v>
      </c>
      <c r="G95" s="214">
        <v>5.03</v>
      </c>
      <c r="H95" s="66">
        <v>17697</v>
      </c>
      <c r="I95" s="200">
        <v>2</v>
      </c>
      <c r="J95" s="66">
        <f t="shared" si="18"/>
        <v>178031.82</v>
      </c>
      <c r="K95" s="200">
        <f t="shared" si="20"/>
        <v>1.125</v>
      </c>
      <c r="L95" s="200">
        <f t="shared" si="39"/>
        <v>18</v>
      </c>
      <c r="M95" s="210"/>
      <c r="N95" s="66">
        <f t="shared" si="27"/>
        <v>0</v>
      </c>
      <c r="O95" s="210">
        <v>10</v>
      </c>
      <c r="P95" s="66">
        <f t="shared" si="40"/>
        <v>111269.88750000001</v>
      </c>
      <c r="Q95" s="210">
        <v>8</v>
      </c>
      <c r="R95" s="66">
        <f t="shared" si="28"/>
        <v>89015.91</v>
      </c>
      <c r="S95" s="201">
        <f t="shared" si="29"/>
        <v>50071.449375000004</v>
      </c>
      <c r="T95" s="66">
        <f t="shared" si="30"/>
        <v>250357.24687500001</v>
      </c>
      <c r="U95" s="66">
        <f t="shared" si="41"/>
        <v>25035.724687500002</v>
      </c>
      <c r="V95" s="66">
        <f t="shared" si="31"/>
        <v>50071.449375000004</v>
      </c>
      <c r="W95" s="210"/>
      <c r="X95" s="66">
        <f t="shared" si="34"/>
        <v>0</v>
      </c>
      <c r="Y95" s="211"/>
      <c r="Z95" s="66">
        <f t="shared" si="35"/>
        <v>0</v>
      </c>
      <c r="AA95" s="211">
        <v>18</v>
      </c>
      <c r="AB95" s="66">
        <f t="shared" si="36"/>
        <v>7963.6500000000005</v>
      </c>
      <c r="AC95" s="211"/>
      <c r="AD95" s="66">
        <f t="shared" si="42"/>
        <v>0</v>
      </c>
      <c r="AE95" s="212"/>
      <c r="AF95" s="212"/>
      <c r="AG95" s="66">
        <f t="shared" si="43"/>
        <v>75107.174062499995</v>
      </c>
      <c r="AH95" s="66"/>
      <c r="AI95" s="66">
        <f t="shared" si="37"/>
        <v>0</v>
      </c>
      <c r="AJ95" s="210"/>
      <c r="AK95" s="66">
        <f t="shared" si="38"/>
        <v>0</v>
      </c>
      <c r="AL95" s="210"/>
      <c r="AM95" s="210"/>
      <c r="AN95" s="213">
        <f t="shared" si="32"/>
        <v>87625.036406250001</v>
      </c>
      <c r="AO95" s="210"/>
      <c r="AP95" s="210"/>
      <c r="AQ95" s="66">
        <f t="shared" si="33"/>
        <v>496178.28140625008</v>
      </c>
      <c r="AR95" s="66">
        <f t="shared" si="44"/>
        <v>5954.1393768750013</v>
      </c>
    </row>
    <row r="96" spans="1:44" s="215" customFormat="1" ht="15" customHeight="1">
      <c r="A96" s="51">
        <v>73</v>
      </c>
      <c r="B96" s="81" t="s">
        <v>456</v>
      </c>
      <c r="C96" s="217" t="s">
        <v>71</v>
      </c>
      <c r="D96" s="64" t="s">
        <v>50</v>
      </c>
      <c r="E96" s="51" t="s">
        <v>110</v>
      </c>
      <c r="F96" s="447">
        <v>6</v>
      </c>
      <c r="G96" s="448">
        <v>4.72</v>
      </c>
      <c r="H96" s="66">
        <v>17697</v>
      </c>
      <c r="I96" s="200">
        <v>2</v>
      </c>
      <c r="J96" s="66">
        <f t="shared" si="18"/>
        <v>167059.68</v>
      </c>
      <c r="K96" s="200">
        <f t="shared" si="20"/>
        <v>1.25</v>
      </c>
      <c r="L96" s="200">
        <f t="shared" si="39"/>
        <v>20</v>
      </c>
      <c r="M96" s="210"/>
      <c r="N96" s="66">
        <f t="shared" si="27"/>
        <v>0</v>
      </c>
      <c r="O96" s="210">
        <v>8</v>
      </c>
      <c r="P96" s="66">
        <f t="shared" si="40"/>
        <v>83529.84</v>
      </c>
      <c r="Q96" s="210">
        <v>12</v>
      </c>
      <c r="R96" s="66">
        <f t="shared" si="28"/>
        <v>125294.76</v>
      </c>
      <c r="S96" s="201">
        <f t="shared" si="29"/>
        <v>52206.149999999994</v>
      </c>
      <c r="T96" s="66">
        <f t="shared" si="30"/>
        <v>261030.74999999997</v>
      </c>
      <c r="U96" s="66">
        <f t="shared" si="41"/>
        <v>26103.074999999997</v>
      </c>
      <c r="V96" s="66">
        <f t="shared" si="31"/>
        <v>52206.149999999994</v>
      </c>
      <c r="W96" s="210"/>
      <c r="X96" s="66">
        <f t="shared" si="34"/>
        <v>0</v>
      </c>
      <c r="Y96" s="211"/>
      <c r="Z96" s="66">
        <f t="shared" si="35"/>
        <v>0</v>
      </c>
      <c r="AA96" s="210">
        <v>20</v>
      </c>
      <c r="AB96" s="66">
        <f t="shared" si="36"/>
        <v>8848.5</v>
      </c>
      <c r="AC96" s="211"/>
      <c r="AD96" s="66">
        <f t="shared" si="42"/>
        <v>0</v>
      </c>
      <c r="AE96" s="212"/>
      <c r="AF96" s="212"/>
      <c r="AG96" s="66">
        <f t="shared" si="43"/>
        <v>78309.224999999991</v>
      </c>
      <c r="AH96" s="66"/>
      <c r="AI96" s="66">
        <f t="shared" si="37"/>
        <v>0</v>
      </c>
      <c r="AJ96" s="210"/>
      <c r="AK96" s="66">
        <f t="shared" si="38"/>
        <v>0</v>
      </c>
      <c r="AL96" s="210"/>
      <c r="AM96" s="213"/>
      <c r="AN96" s="213">
        <f t="shared" si="32"/>
        <v>91360.762499999983</v>
      </c>
      <c r="AO96" s="210"/>
      <c r="AP96" s="210"/>
      <c r="AQ96" s="66">
        <f t="shared" si="33"/>
        <v>517878.46249999991</v>
      </c>
      <c r="AR96" s="66">
        <f t="shared" si="44"/>
        <v>6214.541549999999</v>
      </c>
    </row>
    <row r="97" spans="1:44" s="215" customFormat="1" ht="15" customHeight="1">
      <c r="A97" s="51">
        <v>74</v>
      </c>
      <c r="B97" s="436" t="s">
        <v>567</v>
      </c>
      <c r="C97" s="217" t="s">
        <v>82</v>
      </c>
      <c r="D97" s="64" t="s">
        <v>50</v>
      </c>
      <c r="E97" s="51" t="s">
        <v>110</v>
      </c>
      <c r="F97" s="447">
        <v>19</v>
      </c>
      <c r="G97" s="253">
        <v>5.03</v>
      </c>
      <c r="H97" s="66">
        <v>17697</v>
      </c>
      <c r="I97" s="200">
        <v>2</v>
      </c>
      <c r="J97" s="66">
        <f t="shared" si="18"/>
        <v>178031.82</v>
      </c>
      <c r="K97" s="200">
        <f>(M97+O97+Q97)/16</f>
        <v>0.25</v>
      </c>
      <c r="L97" s="200">
        <f t="shared" si="39"/>
        <v>4</v>
      </c>
      <c r="M97" s="210">
        <v>1</v>
      </c>
      <c r="N97" s="66">
        <f t="shared" si="27"/>
        <v>11126.98875</v>
      </c>
      <c r="O97" s="210">
        <v>3</v>
      </c>
      <c r="P97" s="66">
        <f t="shared" si="40"/>
        <v>33380.966249999998</v>
      </c>
      <c r="Q97" s="210"/>
      <c r="R97" s="66">
        <f t="shared" si="28"/>
        <v>0</v>
      </c>
      <c r="S97" s="201">
        <f t="shared" si="29"/>
        <v>11126.98875</v>
      </c>
      <c r="T97" s="66">
        <f t="shared" si="30"/>
        <v>55634.943750000006</v>
      </c>
      <c r="U97" s="66">
        <f t="shared" si="41"/>
        <v>5563.4943750000011</v>
      </c>
      <c r="V97" s="66">
        <f t="shared" si="31"/>
        <v>11126.988750000002</v>
      </c>
      <c r="W97" s="210"/>
      <c r="X97" s="66">
        <f t="shared" si="34"/>
        <v>0</v>
      </c>
      <c r="Y97" s="211"/>
      <c r="Z97" s="66">
        <f t="shared" si="35"/>
        <v>0</v>
      </c>
      <c r="AA97" s="211"/>
      <c r="AB97" s="66">
        <f t="shared" si="36"/>
        <v>0</v>
      </c>
      <c r="AC97" s="211"/>
      <c r="AD97" s="66">
        <f t="shared" si="42"/>
        <v>0</v>
      </c>
      <c r="AE97" s="212"/>
      <c r="AF97" s="212"/>
      <c r="AG97" s="66">
        <f t="shared" si="43"/>
        <v>16690.483125000002</v>
      </c>
      <c r="AH97" s="66"/>
      <c r="AI97" s="66">
        <f t="shared" si="37"/>
        <v>0</v>
      </c>
      <c r="AJ97" s="210"/>
      <c r="AK97" s="66">
        <f t="shared" si="38"/>
        <v>0</v>
      </c>
      <c r="AL97" s="210"/>
      <c r="AM97" s="210"/>
      <c r="AN97" s="213">
        <f t="shared" si="32"/>
        <v>19472.2303125</v>
      </c>
      <c r="AO97" s="210"/>
      <c r="AP97" s="210"/>
      <c r="AQ97" s="66">
        <f t="shared" si="33"/>
        <v>108488.14031250001</v>
      </c>
      <c r="AR97" s="66">
        <f t="shared" si="44"/>
        <v>1301.85768375</v>
      </c>
    </row>
    <row r="98" spans="1:44" s="215" customFormat="1" ht="15" customHeight="1">
      <c r="A98" s="51">
        <v>75</v>
      </c>
      <c r="B98" s="77" t="s">
        <v>128</v>
      </c>
      <c r="C98" s="217" t="s">
        <v>798</v>
      </c>
      <c r="D98" s="64" t="s">
        <v>50</v>
      </c>
      <c r="E98" s="51" t="s">
        <v>110</v>
      </c>
      <c r="F98" s="261">
        <v>9</v>
      </c>
      <c r="G98" s="253">
        <v>4.79</v>
      </c>
      <c r="H98" s="66">
        <v>17697</v>
      </c>
      <c r="I98" s="200">
        <v>2</v>
      </c>
      <c r="J98" s="66">
        <f t="shared" si="18"/>
        <v>169537.26</v>
      </c>
      <c r="K98" s="200">
        <f>(M98+O98+Q98)/16</f>
        <v>0.75</v>
      </c>
      <c r="L98" s="200">
        <f t="shared" si="39"/>
        <v>12</v>
      </c>
      <c r="M98" s="210"/>
      <c r="N98" s="66">
        <f t="shared" si="27"/>
        <v>0</v>
      </c>
      <c r="O98" s="210">
        <v>9</v>
      </c>
      <c r="P98" s="66">
        <f t="shared" si="40"/>
        <v>95364.708750000005</v>
      </c>
      <c r="Q98" s="210">
        <v>3</v>
      </c>
      <c r="R98" s="66">
        <f t="shared" si="28"/>
        <v>31788.236250000002</v>
      </c>
      <c r="S98" s="201">
        <f t="shared" si="29"/>
        <v>31788.236250000002</v>
      </c>
      <c r="T98" s="66">
        <f t="shared" si="30"/>
        <v>158941.18125000002</v>
      </c>
      <c r="U98" s="66">
        <f t="shared" si="41"/>
        <v>15894.118125000003</v>
      </c>
      <c r="V98" s="66">
        <f t="shared" si="31"/>
        <v>31788.236250000005</v>
      </c>
      <c r="W98" s="210"/>
      <c r="X98" s="66">
        <f t="shared" si="34"/>
        <v>0</v>
      </c>
      <c r="Y98" s="211"/>
      <c r="Z98" s="66">
        <f t="shared" si="35"/>
        <v>0</v>
      </c>
      <c r="AA98" s="211"/>
      <c r="AB98" s="66">
        <f t="shared" si="36"/>
        <v>0</v>
      </c>
      <c r="AC98" s="211"/>
      <c r="AD98" s="66">
        <f t="shared" si="42"/>
        <v>0</v>
      </c>
      <c r="AE98" s="212"/>
      <c r="AF98" s="212"/>
      <c r="AG98" s="66">
        <f t="shared" si="43"/>
        <v>47682.354375000003</v>
      </c>
      <c r="AH98" s="66"/>
      <c r="AI98" s="66">
        <f t="shared" si="37"/>
        <v>0</v>
      </c>
      <c r="AJ98" s="210">
        <v>1</v>
      </c>
      <c r="AK98" s="66">
        <f t="shared" si="38"/>
        <v>442.42500000000001</v>
      </c>
      <c r="AL98" s="210"/>
      <c r="AM98" s="210"/>
      <c r="AN98" s="213">
        <f t="shared" si="32"/>
        <v>55629.413437500007</v>
      </c>
      <c r="AO98" s="210"/>
      <c r="AP98" s="210"/>
      <c r="AQ98" s="66">
        <f t="shared" si="33"/>
        <v>310378.72843750002</v>
      </c>
      <c r="AR98" s="66">
        <f t="shared" si="44"/>
        <v>3724.5447412499998</v>
      </c>
    </row>
    <row r="99" spans="1:44" s="215" customFormat="1" ht="15" customHeight="1">
      <c r="A99" s="51">
        <v>76</v>
      </c>
      <c r="B99" s="218" t="s">
        <v>173</v>
      </c>
      <c r="C99" s="217" t="s">
        <v>600</v>
      </c>
      <c r="D99" s="64" t="s">
        <v>50</v>
      </c>
      <c r="E99" s="421" t="s">
        <v>110</v>
      </c>
      <c r="F99" s="261">
        <v>14.06</v>
      </c>
      <c r="G99" s="253">
        <v>4.95</v>
      </c>
      <c r="H99" s="66">
        <v>17697</v>
      </c>
      <c r="I99" s="200">
        <v>2</v>
      </c>
      <c r="J99" s="66">
        <f t="shared" si="18"/>
        <v>175200.30000000002</v>
      </c>
      <c r="K99" s="200">
        <f>(M99+O99+Q99)/16</f>
        <v>1</v>
      </c>
      <c r="L99" s="200">
        <f t="shared" si="39"/>
        <v>16</v>
      </c>
      <c r="M99" s="210"/>
      <c r="N99" s="66">
        <f t="shared" si="27"/>
        <v>0</v>
      </c>
      <c r="O99" s="210">
        <v>12</v>
      </c>
      <c r="P99" s="66">
        <f t="shared" si="40"/>
        <v>131400.22500000001</v>
      </c>
      <c r="Q99" s="210">
        <v>4</v>
      </c>
      <c r="R99" s="66">
        <f t="shared" si="28"/>
        <v>43800.075000000004</v>
      </c>
      <c r="S99" s="201">
        <f t="shared" si="29"/>
        <v>43800.075000000004</v>
      </c>
      <c r="T99" s="66">
        <f t="shared" si="30"/>
        <v>219000.37500000003</v>
      </c>
      <c r="U99" s="66">
        <f t="shared" si="41"/>
        <v>21900.037500000006</v>
      </c>
      <c r="V99" s="66">
        <f t="shared" si="31"/>
        <v>43800.075000000012</v>
      </c>
      <c r="W99" s="210"/>
      <c r="X99" s="66">
        <f t="shared" si="34"/>
        <v>0</v>
      </c>
      <c r="Y99" s="211">
        <v>1</v>
      </c>
      <c r="Z99" s="66">
        <f>H99*Y99*60%</f>
        <v>10618.199999999999</v>
      </c>
      <c r="AA99" s="211"/>
      <c r="AB99" s="66">
        <f t="shared" si="36"/>
        <v>0</v>
      </c>
      <c r="AC99" s="211"/>
      <c r="AD99" s="66">
        <f t="shared" si="42"/>
        <v>0</v>
      </c>
      <c r="AE99" s="212"/>
      <c r="AF99" s="212"/>
      <c r="AG99" s="66">
        <f t="shared" si="43"/>
        <v>65700.112500000003</v>
      </c>
      <c r="AH99" s="66"/>
      <c r="AI99" s="66">
        <f t="shared" si="37"/>
        <v>0</v>
      </c>
      <c r="AJ99" s="210">
        <v>2</v>
      </c>
      <c r="AK99" s="66">
        <f t="shared" si="38"/>
        <v>884.85</v>
      </c>
      <c r="AL99" s="210"/>
      <c r="AM99" s="210"/>
      <c r="AN99" s="213">
        <f t="shared" si="32"/>
        <v>76650.131250000006</v>
      </c>
      <c r="AO99" s="210"/>
      <c r="AP99" s="210"/>
      <c r="AQ99" s="66">
        <f t="shared" si="33"/>
        <v>438556.78125</v>
      </c>
      <c r="AR99" s="66">
        <f t="shared" si="44"/>
        <v>5262.6813750000001</v>
      </c>
    </row>
    <row r="100" spans="1:44" s="76" customFormat="1" ht="15" customHeight="1">
      <c r="A100" s="243"/>
      <c r="B100" s="70" t="s">
        <v>110</v>
      </c>
      <c r="C100" s="70"/>
      <c r="D100" s="70"/>
      <c r="E100" s="70"/>
      <c r="F100" s="71"/>
      <c r="G100" s="72"/>
      <c r="H100" s="73"/>
      <c r="I100" s="74"/>
      <c r="J100" s="75">
        <f>SUM(J69:J99)</f>
        <v>5528542.799999998</v>
      </c>
      <c r="K100" s="75">
        <f t="shared" ref="K100:AR100" si="45">SUM(K69:K99)</f>
        <v>28.40625</v>
      </c>
      <c r="L100" s="75">
        <f t="shared" si="45"/>
        <v>491.5</v>
      </c>
      <c r="M100" s="75">
        <f t="shared" si="45"/>
        <v>134</v>
      </c>
      <c r="N100" s="75">
        <f t="shared" si="45"/>
        <v>1513447.4400000002</v>
      </c>
      <c r="O100" s="75">
        <f t="shared" si="45"/>
        <v>265.5</v>
      </c>
      <c r="P100" s="75">
        <f t="shared" si="45"/>
        <v>2935489.8750000005</v>
      </c>
      <c r="Q100" s="75">
        <f t="shared" si="45"/>
        <v>92</v>
      </c>
      <c r="R100" s="75">
        <f t="shared" si="45"/>
        <v>1016803.25625</v>
      </c>
      <c r="S100" s="75">
        <f t="shared" si="45"/>
        <v>1366435.1428125002</v>
      </c>
      <c r="T100" s="75">
        <f t="shared" si="45"/>
        <v>6832175.7140625017</v>
      </c>
      <c r="U100" s="75">
        <f t="shared" si="45"/>
        <v>683217.57140625024</v>
      </c>
      <c r="V100" s="75">
        <f t="shared" si="45"/>
        <v>1366435.1428125005</v>
      </c>
      <c r="W100" s="75">
        <f t="shared" si="45"/>
        <v>6</v>
      </c>
      <c r="X100" s="75">
        <f t="shared" si="45"/>
        <v>53091</v>
      </c>
      <c r="Y100" s="75">
        <f t="shared" si="45"/>
        <v>5</v>
      </c>
      <c r="Z100" s="75">
        <f t="shared" si="45"/>
        <v>53090.999999999993</v>
      </c>
      <c r="AA100" s="75">
        <f t="shared" si="45"/>
        <v>210</v>
      </c>
      <c r="AB100" s="75">
        <f t="shared" si="45"/>
        <v>92909.250000000015</v>
      </c>
      <c r="AC100" s="75">
        <f t="shared" si="45"/>
        <v>99</v>
      </c>
      <c r="AD100" s="75">
        <f t="shared" si="45"/>
        <v>54750.09375</v>
      </c>
      <c r="AE100" s="75">
        <f t="shared" si="45"/>
        <v>0</v>
      </c>
      <c r="AF100" s="75">
        <f t="shared" si="45"/>
        <v>0</v>
      </c>
      <c r="AG100" s="75">
        <f t="shared" si="45"/>
        <v>2049652.7142187506</v>
      </c>
      <c r="AH100" s="75">
        <f t="shared" si="45"/>
        <v>11</v>
      </c>
      <c r="AI100" s="75">
        <f t="shared" si="45"/>
        <v>2433.3375000000001</v>
      </c>
      <c r="AJ100" s="75">
        <f t="shared" si="45"/>
        <v>5</v>
      </c>
      <c r="AK100" s="75">
        <f t="shared" si="45"/>
        <v>2212.125</v>
      </c>
      <c r="AL100" s="75">
        <f t="shared" si="45"/>
        <v>0</v>
      </c>
      <c r="AM100" s="75">
        <f t="shared" si="45"/>
        <v>0</v>
      </c>
      <c r="AN100" s="75">
        <f t="shared" si="45"/>
        <v>2391261.4999218755</v>
      </c>
      <c r="AO100" s="75">
        <f t="shared" si="45"/>
        <v>0</v>
      </c>
      <c r="AP100" s="75">
        <f t="shared" si="45"/>
        <v>0</v>
      </c>
      <c r="AQ100" s="75">
        <f t="shared" si="45"/>
        <v>13581565.448671876</v>
      </c>
      <c r="AR100" s="75">
        <f t="shared" si="45"/>
        <v>162978.78538406244</v>
      </c>
    </row>
    <row r="101" spans="1:44" s="215" customFormat="1" ht="15" customHeight="1">
      <c r="A101" s="51">
        <v>77</v>
      </c>
      <c r="B101" s="63" t="s">
        <v>559</v>
      </c>
      <c r="C101" s="217" t="s">
        <v>53</v>
      </c>
      <c r="D101" s="64" t="s">
        <v>50</v>
      </c>
      <c r="E101" s="51" t="s">
        <v>127</v>
      </c>
      <c r="F101" s="447">
        <v>6</v>
      </c>
      <c r="G101" s="214">
        <v>4.66</v>
      </c>
      <c r="H101" s="66">
        <v>17697</v>
      </c>
      <c r="I101" s="200">
        <v>2</v>
      </c>
      <c r="J101" s="66">
        <f t="shared" si="18"/>
        <v>164936.04</v>
      </c>
      <c r="K101" s="200">
        <f t="shared" si="20"/>
        <v>0.9375</v>
      </c>
      <c r="L101" s="200">
        <f t="shared" si="39"/>
        <v>15</v>
      </c>
      <c r="M101" s="210">
        <v>15</v>
      </c>
      <c r="N101" s="66">
        <f t="shared" si="27"/>
        <v>154627.53750000001</v>
      </c>
      <c r="O101" s="210"/>
      <c r="P101" s="66">
        <f t="shared" si="40"/>
        <v>0</v>
      </c>
      <c r="Q101" s="210"/>
      <c r="R101" s="66">
        <f t="shared" si="28"/>
        <v>0</v>
      </c>
      <c r="S101" s="201">
        <f t="shared" ref="S101" si="46">(N101+P101+R101)*25%</f>
        <v>38656.884375000001</v>
      </c>
      <c r="T101" s="66">
        <f t="shared" ref="T101" si="47">N101+P101+R101+S101</f>
        <v>193284.421875</v>
      </c>
      <c r="U101" s="66">
        <f t="shared" si="41"/>
        <v>19328.442187500001</v>
      </c>
      <c r="V101" s="66">
        <f t="shared" ref="V101" si="48">T101*20%</f>
        <v>38656.884375000001</v>
      </c>
      <c r="W101" s="210"/>
      <c r="X101" s="66">
        <f t="shared" ref="X101:X116" si="49">(H101*W101)*50%</f>
        <v>0</v>
      </c>
      <c r="Y101" s="211"/>
      <c r="Z101" s="66">
        <f t="shared" ref="Z101:Z116" si="50">H101*Y101*60%</f>
        <v>0</v>
      </c>
      <c r="AA101" s="210">
        <v>16</v>
      </c>
      <c r="AB101" s="66">
        <f t="shared" ref="AB101:AB116" si="51">((H101*40%/16*AA101))</f>
        <v>7078.8</v>
      </c>
      <c r="AC101" s="211"/>
      <c r="AD101" s="66">
        <f t="shared" ref="AD101:AD116" si="52">((H101*40%/16*AC101))</f>
        <v>0</v>
      </c>
      <c r="AE101" s="212">
        <v>34500</v>
      </c>
      <c r="AF101" s="212"/>
      <c r="AG101" s="66">
        <f t="shared" ref="AG101:AG104" si="53">T101*30%</f>
        <v>57985.326562499999</v>
      </c>
      <c r="AH101" s="66"/>
      <c r="AI101" s="66">
        <f t="shared" ref="AI101:AI116" si="54">((H101*20%/16*AH101))</f>
        <v>0</v>
      </c>
      <c r="AJ101" s="210"/>
      <c r="AK101" s="66">
        <f t="shared" ref="AK101:AK116" si="55">((H101*40%/16*AJ101))</f>
        <v>0</v>
      </c>
      <c r="AL101" s="210"/>
      <c r="AM101" s="213">
        <f t="shared" ref="AM101:AM106" si="56">T101*30%</f>
        <v>57985.326562499999</v>
      </c>
      <c r="AN101" s="210"/>
      <c r="AO101" s="210"/>
      <c r="AP101" s="210"/>
      <c r="AQ101" s="66">
        <f>SUM(T101:AP101)</f>
        <v>408835.20156249998</v>
      </c>
      <c r="AR101" s="66">
        <f t="shared" ref="AR101:AR116" si="57">AQ101*12/1000</f>
        <v>4906.0224187499989</v>
      </c>
    </row>
    <row r="102" spans="1:44" s="215" customFormat="1" ht="15" customHeight="1">
      <c r="A102" s="51">
        <v>78</v>
      </c>
      <c r="B102" s="216" t="s">
        <v>129</v>
      </c>
      <c r="C102" s="217" t="s">
        <v>53</v>
      </c>
      <c r="D102" s="64" t="s">
        <v>50</v>
      </c>
      <c r="E102" s="51" t="s">
        <v>127</v>
      </c>
      <c r="F102" s="408" t="s">
        <v>445</v>
      </c>
      <c r="G102" s="214">
        <v>4.74</v>
      </c>
      <c r="H102" s="66">
        <v>17697</v>
      </c>
      <c r="I102" s="200">
        <v>2</v>
      </c>
      <c r="J102" s="66">
        <f t="shared" si="18"/>
        <v>167767.56</v>
      </c>
      <c r="K102" s="200">
        <f t="shared" si="20"/>
        <v>1</v>
      </c>
      <c r="L102" s="200">
        <f t="shared" si="39"/>
        <v>16</v>
      </c>
      <c r="M102" s="210">
        <v>16</v>
      </c>
      <c r="N102" s="66">
        <f t="shared" si="27"/>
        <v>167767.56</v>
      </c>
      <c r="O102" s="210"/>
      <c r="P102" s="66">
        <f t="shared" si="40"/>
        <v>0</v>
      </c>
      <c r="Q102" s="210"/>
      <c r="R102" s="66">
        <f t="shared" si="28"/>
        <v>0</v>
      </c>
      <c r="S102" s="201">
        <f t="shared" ref="S102:S129" si="58">(N102+P102+R102)*25%</f>
        <v>41941.89</v>
      </c>
      <c r="T102" s="66">
        <f t="shared" ref="T102:T129" si="59">N102+P102+R102+S102</f>
        <v>209709.45</v>
      </c>
      <c r="U102" s="66">
        <f t="shared" si="41"/>
        <v>20970.945000000003</v>
      </c>
      <c r="V102" s="66">
        <f t="shared" ref="V102:V129" si="60">T102*20%</f>
        <v>41941.890000000007</v>
      </c>
      <c r="W102" s="210">
        <v>1</v>
      </c>
      <c r="X102" s="66">
        <f t="shared" si="49"/>
        <v>8848.5</v>
      </c>
      <c r="Y102" s="211"/>
      <c r="Z102" s="66">
        <f t="shared" si="50"/>
        <v>0</v>
      </c>
      <c r="AA102" s="210">
        <v>15</v>
      </c>
      <c r="AB102" s="66">
        <f t="shared" si="51"/>
        <v>6636.375</v>
      </c>
      <c r="AC102" s="211"/>
      <c r="AD102" s="66">
        <f t="shared" si="52"/>
        <v>0</v>
      </c>
      <c r="AE102" s="212"/>
      <c r="AF102" s="212"/>
      <c r="AG102" s="66">
        <f t="shared" si="53"/>
        <v>62912.834999999999</v>
      </c>
      <c r="AH102" s="66"/>
      <c r="AI102" s="66">
        <f t="shared" si="54"/>
        <v>0</v>
      </c>
      <c r="AJ102" s="210"/>
      <c r="AK102" s="66">
        <f t="shared" si="55"/>
        <v>0</v>
      </c>
      <c r="AL102" s="210"/>
      <c r="AM102" s="213">
        <f t="shared" si="56"/>
        <v>62912.834999999999</v>
      </c>
      <c r="AN102" s="210"/>
      <c r="AO102" s="210"/>
      <c r="AP102" s="210"/>
      <c r="AQ102" s="66">
        <f>SUM(T102:AP102)</f>
        <v>413948.83000000007</v>
      </c>
      <c r="AR102" s="66">
        <f t="shared" si="57"/>
        <v>4967.3859600000005</v>
      </c>
    </row>
    <row r="103" spans="1:44" s="215" customFormat="1" ht="15" customHeight="1">
      <c r="A103" s="51">
        <v>79</v>
      </c>
      <c r="B103" s="217" t="s">
        <v>130</v>
      </c>
      <c r="C103" s="217" t="s">
        <v>53</v>
      </c>
      <c r="D103" s="64" t="s">
        <v>50</v>
      </c>
      <c r="E103" s="51" t="s">
        <v>127</v>
      </c>
      <c r="F103" s="408" t="s">
        <v>446</v>
      </c>
      <c r="G103" s="214">
        <v>4.66</v>
      </c>
      <c r="H103" s="66">
        <v>17697</v>
      </c>
      <c r="I103" s="200">
        <v>2</v>
      </c>
      <c r="J103" s="66">
        <f t="shared" si="18"/>
        <v>164936.04</v>
      </c>
      <c r="K103" s="200">
        <f t="shared" si="20"/>
        <v>1</v>
      </c>
      <c r="L103" s="200">
        <f t="shared" si="39"/>
        <v>16</v>
      </c>
      <c r="M103" s="210">
        <v>16</v>
      </c>
      <c r="N103" s="66">
        <f t="shared" si="27"/>
        <v>164936.04</v>
      </c>
      <c r="O103" s="210"/>
      <c r="P103" s="66">
        <f t="shared" si="40"/>
        <v>0</v>
      </c>
      <c r="Q103" s="210"/>
      <c r="R103" s="66">
        <f t="shared" si="28"/>
        <v>0</v>
      </c>
      <c r="S103" s="201">
        <f t="shared" si="58"/>
        <v>41234.01</v>
      </c>
      <c r="T103" s="66">
        <f t="shared" si="59"/>
        <v>206170.05000000002</v>
      </c>
      <c r="U103" s="66">
        <f t="shared" si="41"/>
        <v>20617.005000000005</v>
      </c>
      <c r="V103" s="66">
        <f t="shared" si="60"/>
        <v>41234.010000000009</v>
      </c>
      <c r="W103" s="210">
        <v>1</v>
      </c>
      <c r="X103" s="66">
        <f t="shared" si="49"/>
        <v>8848.5</v>
      </c>
      <c r="Y103" s="211"/>
      <c r="Z103" s="66">
        <f t="shared" si="50"/>
        <v>0</v>
      </c>
      <c r="AA103" s="210">
        <v>15</v>
      </c>
      <c r="AB103" s="66">
        <f t="shared" si="51"/>
        <v>6636.375</v>
      </c>
      <c r="AC103" s="211"/>
      <c r="AD103" s="66">
        <f t="shared" si="52"/>
        <v>0</v>
      </c>
      <c r="AE103" s="212"/>
      <c r="AF103" s="212"/>
      <c r="AG103" s="66">
        <f t="shared" si="53"/>
        <v>61851.014999999999</v>
      </c>
      <c r="AH103" s="66"/>
      <c r="AI103" s="66">
        <f t="shared" si="54"/>
        <v>0</v>
      </c>
      <c r="AJ103" s="210"/>
      <c r="AK103" s="66">
        <f t="shared" si="55"/>
        <v>0</v>
      </c>
      <c r="AL103" s="210"/>
      <c r="AM103" s="213">
        <f t="shared" si="56"/>
        <v>61851.014999999999</v>
      </c>
      <c r="AN103" s="210"/>
      <c r="AO103" s="210"/>
      <c r="AP103" s="210"/>
      <c r="AQ103" s="66">
        <f>SUM(T103:AP103)</f>
        <v>407223.97000000009</v>
      </c>
      <c r="AR103" s="66">
        <f t="shared" si="57"/>
        <v>4886.687640000001</v>
      </c>
    </row>
    <row r="104" spans="1:44" s="215" customFormat="1" ht="15" customHeight="1">
      <c r="A104" s="51">
        <v>80</v>
      </c>
      <c r="B104" s="216" t="s">
        <v>131</v>
      </c>
      <c r="C104" s="217" t="s">
        <v>53</v>
      </c>
      <c r="D104" s="64" t="s">
        <v>50</v>
      </c>
      <c r="E104" s="51" t="s">
        <v>127</v>
      </c>
      <c r="F104" s="408" t="s">
        <v>542</v>
      </c>
      <c r="G104" s="214">
        <v>4.74</v>
      </c>
      <c r="H104" s="66">
        <v>17697</v>
      </c>
      <c r="I104" s="200">
        <v>2</v>
      </c>
      <c r="J104" s="66">
        <f t="shared" si="18"/>
        <v>167767.56</v>
      </c>
      <c r="K104" s="200">
        <f t="shared" si="20"/>
        <v>1</v>
      </c>
      <c r="L104" s="200">
        <f t="shared" si="39"/>
        <v>16</v>
      </c>
      <c r="M104" s="210">
        <v>16</v>
      </c>
      <c r="N104" s="66">
        <f t="shared" si="27"/>
        <v>167767.56</v>
      </c>
      <c r="O104" s="210"/>
      <c r="P104" s="66">
        <f t="shared" si="40"/>
        <v>0</v>
      </c>
      <c r="Q104" s="210"/>
      <c r="R104" s="66">
        <f t="shared" si="28"/>
        <v>0</v>
      </c>
      <c r="S104" s="201">
        <f t="shared" si="58"/>
        <v>41941.89</v>
      </c>
      <c r="T104" s="66">
        <f t="shared" si="59"/>
        <v>209709.45</v>
      </c>
      <c r="U104" s="66">
        <f t="shared" si="41"/>
        <v>20970.945000000003</v>
      </c>
      <c r="V104" s="66">
        <f t="shared" si="60"/>
        <v>41941.890000000007</v>
      </c>
      <c r="W104" s="210">
        <v>1</v>
      </c>
      <c r="X104" s="66">
        <f t="shared" si="49"/>
        <v>8848.5</v>
      </c>
      <c r="Y104" s="211"/>
      <c r="Z104" s="66">
        <f t="shared" si="50"/>
        <v>0</v>
      </c>
      <c r="AA104" s="210">
        <v>15</v>
      </c>
      <c r="AB104" s="66">
        <f t="shared" si="51"/>
        <v>6636.375</v>
      </c>
      <c r="AC104" s="211"/>
      <c r="AD104" s="66">
        <f t="shared" si="52"/>
        <v>0</v>
      </c>
      <c r="AE104" s="212"/>
      <c r="AF104" s="212"/>
      <c r="AG104" s="66">
        <f t="shared" si="53"/>
        <v>62912.834999999999</v>
      </c>
      <c r="AH104" s="66"/>
      <c r="AI104" s="66">
        <f t="shared" si="54"/>
        <v>0</v>
      </c>
      <c r="AJ104" s="210"/>
      <c r="AK104" s="66">
        <f t="shared" si="55"/>
        <v>0</v>
      </c>
      <c r="AL104" s="210"/>
      <c r="AM104" s="213">
        <f t="shared" si="56"/>
        <v>62912.834999999999</v>
      </c>
      <c r="AN104" s="210"/>
      <c r="AO104" s="210"/>
      <c r="AP104" s="210"/>
      <c r="AQ104" s="66">
        <f>SUM(T104:AP104)</f>
        <v>413948.83000000007</v>
      </c>
      <c r="AR104" s="66">
        <f t="shared" si="57"/>
        <v>4967.3859600000005</v>
      </c>
    </row>
    <row r="105" spans="1:44" s="215" customFormat="1" ht="15" customHeight="1">
      <c r="A105" s="51">
        <v>81</v>
      </c>
      <c r="B105" s="216" t="s">
        <v>132</v>
      </c>
      <c r="C105" s="217" t="s">
        <v>53</v>
      </c>
      <c r="D105" s="64" t="s">
        <v>50</v>
      </c>
      <c r="E105" s="51" t="s">
        <v>127</v>
      </c>
      <c r="F105" s="408" t="s">
        <v>445</v>
      </c>
      <c r="G105" s="214">
        <v>4.74</v>
      </c>
      <c r="H105" s="66">
        <v>17697</v>
      </c>
      <c r="I105" s="200">
        <v>2</v>
      </c>
      <c r="J105" s="66">
        <f t="shared" si="18"/>
        <v>167767.56</v>
      </c>
      <c r="K105" s="200">
        <f t="shared" si="20"/>
        <v>1.0625</v>
      </c>
      <c r="L105" s="200">
        <f t="shared" si="39"/>
        <v>17</v>
      </c>
      <c r="M105" s="210">
        <v>17</v>
      </c>
      <c r="N105" s="66">
        <f t="shared" si="27"/>
        <v>178253.0325</v>
      </c>
      <c r="O105" s="210"/>
      <c r="P105" s="66">
        <f t="shared" si="40"/>
        <v>0</v>
      </c>
      <c r="Q105" s="210"/>
      <c r="R105" s="66">
        <f t="shared" si="28"/>
        <v>0</v>
      </c>
      <c r="S105" s="201">
        <f t="shared" si="58"/>
        <v>44563.258125</v>
      </c>
      <c r="T105" s="66">
        <f t="shared" si="59"/>
        <v>222816.29062499999</v>
      </c>
      <c r="U105" s="66">
        <f t="shared" si="41"/>
        <v>22281.6290625</v>
      </c>
      <c r="V105" s="66">
        <f t="shared" si="60"/>
        <v>44563.258125</v>
      </c>
      <c r="W105" s="210">
        <v>1</v>
      </c>
      <c r="X105" s="66">
        <f t="shared" si="49"/>
        <v>8848.5</v>
      </c>
      <c r="Y105" s="211"/>
      <c r="Z105" s="66">
        <f t="shared" si="50"/>
        <v>0</v>
      </c>
      <c r="AA105" s="210">
        <v>16</v>
      </c>
      <c r="AB105" s="66">
        <f t="shared" si="51"/>
        <v>7078.8</v>
      </c>
      <c r="AC105" s="211"/>
      <c r="AD105" s="66">
        <f t="shared" si="52"/>
        <v>0</v>
      </c>
      <c r="AE105" s="212"/>
      <c r="AF105" s="212"/>
      <c r="AG105" s="66">
        <f t="shared" ref="AG105:AG116" si="61">T105*30%</f>
        <v>66844.88718749999</v>
      </c>
      <c r="AH105" s="66"/>
      <c r="AI105" s="66">
        <f t="shared" si="54"/>
        <v>0</v>
      </c>
      <c r="AJ105" s="210"/>
      <c r="AK105" s="66">
        <f t="shared" si="55"/>
        <v>0</v>
      </c>
      <c r="AL105" s="210"/>
      <c r="AM105" s="213">
        <f t="shared" si="56"/>
        <v>66844.88718749999</v>
      </c>
      <c r="AN105" s="213"/>
      <c r="AO105" s="210"/>
      <c r="AP105" s="210"/>
      <c r="AQ105" s="66">
        <f t="shared" ref="AQ105:AQ116" si="62">SUM(T105:AP105)</f>
        <v>439295.25218750001</v>
      </c>
      <c r="AR105" s="66">
        <f t="shared" si="57"/>
        <v>5271.5430262500004</v>
      </c>
    </row>
    <row r="106" spans="1:44" s="215" customFormat="1" ht="15" customHeight="1">
      <c r="A106" s="51">
        <v>82</v>
      </c>
      <c r="B106" s="216" t="s">
        <v>133</v>
      </c>
      <c r="C106" s="217" t="s">
        <v>98</v>
      </c>
      <c r="D106" s="64" t="s">
        <v>50</v>
      </c>
      <c r="E106" s="51" t="s">
        <v>127</v>
      </c>
      <c r="F106" s="409" t="s">
        <v>543</v>
      </c>
      <c r="G106" s="214">
        <v>4.74</v>
      </c>
      <c r="H106" s="66">
        <v>17697</v>
      </c>
      <c r="I106" s="200">
        <v>2</v>
      </c>
      <c r="J106" s="66">
        <f t="shared" si="18"/>
        <v>167767.56</v>
      </c>
      <c r="K106" s="200">
        <f t="shared" si="20"/>
        <v>0.75</v>
      </c>
      <c r="L106" s="200">
        <f t="shared" si="39"/>
        <v>12</v>
      </c>
      <c r="M106" s="210"/>
      <c r="N106" s="66">
        <f t="shared" si="27"/>
        <v>0</v>
      </c>
      <c r="O106" s="210">
        <v>6</v>
      </c>
      <c r="P106" s="66">
        <f t="shared" si="40"/>
        <v>62912.834999999999</v>
      </c>
      <c r="Q106" s="210">
        <v>6</v>
      </c>
      <c r="R106" s="66">
        <f t="shared" si="28"/>
        <v>62912.834999999999</v>
      </c>
      <c r="S106" s="201">
        <f t="shared" si="58"/>
        <v>31456.4175</v>
      </c>
      <c r="T106" s="66">
        <f t="shared" si="59"/>
        <v>157282.08749999999</v>
      </c>
      <c r="U106" s="66">
        <f t="shared" si="41"/>
        <v>15728.20875</v>
      </c>
      <c r="V106" s="66">
        <f t="shared" si="60"/>
        <v>31456.4175</v>
      </c>
      <c r="W106" s="210"/>
      <c r="X106" s="66">
        <f t="shared" si="49"/>
        <v>0</v>
      </c>
      <c r="Y106" s="211"/>
      <c r="Z106" s="66">
        <f t="shared" si="50"/>
        <v>0</v>
      </c>
      <c r="AA106" s="210"/>
      <c r="AB106" s="66">
        <f t="shared" si="51"/>
        <v>0</v>
      </c>
      <c r="AC106" s="211"/>
      <c r="AD106" s="66">
        <f t="shared" si="52"/>
        <v>0</v>
      </c>
      <c r="AE106" s="212"/>
      <c r="AF106" s="212"/>
      <c r="AG106" s="66">
        <f t="shared" si="61"/>
        <v>47184.626249999994</v>
      </c>
      <c r="AH106" s="66"/>
      <c r="AI106" s="66">
        <f t="shared" si="54"/>
        <v>0</v>
      </c>
      <c r="AJ106" s="210"/>
      <c r="AK106" s="66">
        <f t="shared" si="55"/>
        <v>0</v>
      </c>
      <c r="AL106" s="210"/>
      <c r="AM106" s="213">
        <f t="shared" si="56"/>
        <v>47184.626249999994</v>
      </c>
      <c r="AN106" s="210"/>
      <c r="AO106" s="210"/>
      <c r="AP106" s="210"/>
      <c r="AQ106" s="66">
        <f t="shared" si="62"/>
        <v>298835.96625</v>
      </c>
      <c r="AR106" s="66">
        <f t="shared" si="57"/>
        <v>3586.0315949999999</v>
      </c>
    </row>
    <row r="107" spans="1:44" s="215" customFormat="1" ht="15" customHeight="1">
      <c r="A107" s="51">
        <v>83</v>
      </c>
      <c r="B107" s="216" t="s">
        <v>135</v>
      </c>
      <c r="C107" s="217" t="s">
        <v>53</v>
      </c>
      <c r="D107" s="64" t="s">
        <v>50</v>
      </c>
      <c r="E107" s="51" t="s">
        <v>127</v>
      </c>
      <c r="F107" s="408" t="s">
        <v>545</v>
      </c>
      <c r="G107" s="214">
        <v>5.16</v>
      </c>
      <c r="H107" s="66">
        <v>17697</v>
      </c>
      <c r="I107" s="200">
        <v>2</v>
      </c>
      <c r="J107" s="66">
        <f t="shared" si="18"/>
        <v>182633.04</v>
      </c>
      <c r="K107" s="200">
        <f t="shared" si="20"/>
        <v>1.0625</v>
      </c>
      <c r="L107" s="200">
        <f t="shared" si="39"/>
        <v>17</v>
      </c>
      <c r="M107" s="210">
        <v>17</v>
      </c>
      <c r="N107" s="66">
        <f t="shared" si="27"/>
        <v>194047.60500000001</v>
      </c>
      <c r="O107" s="210"/>
      <c r="P107" s="66">
        <f t="shared" si="40"/>
        <v>0</v>
      </c>
      <c r="Q107" s="210"/>
      <c r="R107" s="66">
        <f t="shared" si="28"/>
        <v>0</v>
      </c>
      <c r="S107" s="201">
        <f t="shared" si="58"/>
        <v>48511.901250000003</v>
      </c>
      <c r="T107" s="66">
        <f t="shared" si="59"/>
        <v>242559.50625000001</v>
      </c>
      <c r="U107" s="66">
        <f t="shared" si="41"/>
        <v>24255.950625000001</v>
      </c>
      <c r="V107" s="66">
        <f t="shared" si="60"/>
        <v>48511.901250000003</v>
      </c>
      <c r="W107" s="210">
        <v>1</v>
      </c>
      <c r="X107" s="66">
        <f t="shared" si="49"/>
        <v>8848.5</v>
      </c>
      <c r="Y107" s="211"/>
      <c r="Z107" s="66">
        <f t="shared" si="50"/>
        <v>0</v>
      </c>
      <c r="AA107" s="210">
        <v>16</v>
      </c>
      <c r="AB107" s="66">
        <f t="shared" si="51"/>
        <v>7078.8</v>
      </c>
      <c r="AC107" s="211"/>
      <c r="AD107" s="66">
        <f t="shared" si="52"/>
        <v>0</v>
      </c>
      <c r="AE107" s="212"/>
      <c r="AF107" s="212"/>
      <c r="AG107" s="66">
        <f t="shared" si="61"/>
        <v>72767.851874999993</v>
      </c>
      <c r="AH107" s="66"/>
      <c r="AI107" s="66">
        <f t="shared" si="54"/>
        <v>0</v>
      </c>
      <c r="AJ107" s="210"/>
      <c r="AK107" s="66">
        <f t="shared" si="55"/>
        <v>0</v>
      </c>
      <c r="AL107" s="210"/>
      <c r="AM107" s="213">
        <f>T107*30%</f>
        <v>72767.851874999993</v>
      </c>
      <c r="AN107" s="210"/>
      <c r="AO107" s="210"/>
      <c r="AP107" s="210"/>
      <c r="AQ107" s="66">
        <f t="shared" si="62"/>
        <v>476807.361875</v>
      </c>
      <c r="AR107" s="66">
        <f t="shared" si="57"/>
        <v>5721.6883425000005</v>
      </c>
    </row>
    <row r="108" spans="1:44" s="215" customFormat="1" ht="15" customHeight="1">
      <c r="A108" s="51">
        <v>84</v>
      </c>
      <c r="B108" s="437" t="s">
        <v>136</v>
      </c>
      <c r="C108" s="220" t="s">
        <v>82</v>
      </c>
      <c r="D108" s="64" t="s">
        <v>50</v>
      </c>
      <c r="E108" s="51" t="s">
        <v>127</v>
      </c>
      <c r="F108" s="449">
        <v>39</v>
      </c>
      <c r="G108" s="214">
        <v>5.16</v>
      </c>
      <c r="H108" s="66">
        <v>17697</v>
      </c>
      <c r="I108" s="200">
        <v>2</v>
      </c>
      <c r="J108" s="66">
        <f t="shared" si="18"/>
        <v>182633.04</v>
      </c>
      <c r="K108" s="200">
        <f t="shared" si="20"/>
        <v>1.0625</v>
      </c>
      <c r="L108" s="200">
        <f t="shared" si="39"/>
        <v>17</v>
      </c>
      <c r="M108" s="210">
        <v>12</v>
      </c>
      <c r="N108" s="66">
        <f t="shared" si="27"/>
        <v>136974.78</v>
      </c>
      <c r="O108" s="210">
        <v>5</v>
      </c>
      <c r="P108" s="66">
        <f t="shared" si="40"/>
        <v>57072.825000000004</v>
      </c>
      <c r="Q108" s="210"/>
      <c r="R108" s="66">
        <f t="shared" si="28"/>
        <v>0</v>
      </c>
      <c r="S108" s="201">
        <f t="shared" si="58"/>
        <v>48511.901250000003</v>
      </c>
      <c r="T108" s="66">
        <f t="shared" si="59"/>
        <v>242559.50625000001</v>
      </c>
      <c r="U108" s="66">
        <f t="shared" si="41"/>
        <v>24255.950625000001</v>
      </c>
      <c r="V108" s="66">
        <f t="shared" si="60"/>
        <v>48511.901250000003</v>
      </c>
      <c r="W108" s="210"/>
      <c r="X108" s="66">
        <f t="shared" si="49"/>
        <v>0</v>
      </c>
      <c r="Y108" s="211"/>
      <c r="Z108" s="66">
        <f t="shared" si="50"/>
        <v>0</v>
      </c>
      <c r="AA108" s="210"/>
      <c r="AB108" s="66">
        <f t="shared" si="51"/>
        <v>0</v>
      </c>
      <c r="AC108" s="211"/>
      <c r="AD108" s="66">
        <f t="shared" si="52"/>
        <v>0</v>
      </c>
      <c r="AE108" s="212"/>
      <c r="AF108" s="212"/>
      <c r="AG108" s="66">
        <f t="shared" si="61"/>
        <v>72767.851874999993</v>
      </c>
      <c r="AH108" s="66"/>
      <c r="AI108" s="66">
        <f t="shared" si="54"/>
        <v>0</v>
      </c>
      <c r="AJ108" s="210"/>
      <c r="AK108" s="66">
        <f t="shared" si="55"/>
        <v>0</v>
      </c>
      <c r="AL108" s="210"/>
      <c r="AM108" s="213">
        <f t="shared" ref="AM108:AM113" si="63">T108*30%</f>
        <v>72767.851874999993</v>
      </c>
      <c r="AN108" s="210"/>
      <c r="AO108" s="210"/>
      <c r="AP108" s="210"/>
      <c r="AQ108" s="66">
        <f t="shared" si="62"/>
        <v>460863.06187500001</v>
      </c>
      <c r="AR108" s="66">
        <f t="shared" si="57"/>
        <v>5530.3567425000001</v>
      </c>
    </row>
    <row r="109" spans="1:44" s="215" customFormat="1" ht="15" customHeight="1">
      <c r="A109" s="51">
        <v>85</v>
      </c>
      <c r="B109" s="216" t="s">
        <v>137</v>
      </c>
      <c r="C109" s="217" t="s">
        <v>71</v>
      </c>
      <c r="D109" s="64" t="s">
        <v>50</v>
      </c>
      <c r="E109" s="51" t="s">
        <v>127</v>
      </c>
      <c r="F109" s="450">
        <v>5</v>
      </c>
      <c r="G109" s="214">
        <v>4.66</v>
      </c>
      <c r="H109" s="66">
        <v>17697</v>
      </c>
      <c r="I109" s="200">
        <v>2</v>
      </c>
      <c r="J109" s="66">
        <f t="shared" si="18"/>
        <v>164936.04</v>
      </c>
      <c r="K109" s="200">
        <f t="shared" si="20"/>
        <v>1.125</v>
      </c>
      <c r="L109" s="200">
        <f t="shared" si="39"/>
        <v>18</v>
      </c>
      <c r="M109" s="210"/>
      <c r="N109" s="66">
        <f t="shared" si="27"/>
        <v>0</v>
      </c>
      <c r="O109" s="210">
        <v>18</v>
      </c>
      <c r="P109" s="66">
        <f t="shared" si="40"/>
        <v>185553.04500000001</v>
      </c>
      <c r="Q109" s="210"/>
      <c r="R109" s="66">
        <f t="shared" si="28"/>
        <v>0</v>
      </c>
      <c r="S109" s="201">
        <f t="shared" si="58"/>
        <v>46388.261250000003</v>
      </c>
      <c r="T109" s="66">
        <f t="shared" si="59"/>
        <v>231941.30625000002</v>
      </c>
      <c r="U109" s="66">
        <f t="shared" si="41"/>
        <v>23194.130625000005</v>
      </c>
      <c r="V109" s="66">
        <f t="shared" si="60"/>
        <v>46388.26125000001</v>
      </c>
      <c r="W109" s="210"/>
      <c r="X109" s="66">
        <f t="shared" si="49"/>
        <v>0</v>
      </c>
      <c r="Y109" s="211"/>
      <c r="Z109" s="66">
        <f t="shared" si="50"/>
        <v>0</v>
      </c>
      <c r="AA109" s="210">
        <v>18</v>
      </c>
      <c r="AB109" s="66">
        <f t="shared" si="51"/>
        <v>7963.6500000000005</v>
      </c>
      <c r="AC109" s="211"/>
      <c r="AD109" s="66">
        <f t="shared" si="52"/>
        <v>0</v>
      </c>
      <c r="AE109" s="212"/>
      <c r="AF109" s="212"/>
      <c r="AG109" s="66">
        <f t="shared" si="61"/>
        <v>69582.391875000001</v>
      </c>
      <c r="AH109" s="66"/>
      <c r="AI109" s="66">
        <f t="shared" si="54"/>
        <v>0</v>
      </c>
      <c r="AJ109" s="210"/>
      <c r="AK109" s="66">
        <f t="shared" si="55"/>
        <v>0</v>
      </c>
      <c r="AL109" s="210"/>
      <c r="AM109" s="213">
        <f t="shared" si="63"/>
        <v>69582.391875000001</v>
      </c>
      <c r="AN109" s="210"/>
      <c r="AO109" s="210"/>
      <c r="AP109" s="210"/>
      <c r="AQ109" s="66">
        <f t="shared" si="62"/>
        <v>448670.13187499996</v>
      </c>
      <c r="AR109" s="66">
        <f t="shared" si="57"/>
        <v>5384.0415825</v>
      </c>
    </row>
    <row r="110" spans="1:44" s="215" customFormat="1" ht="15" customHeight="1">
      <c r="A110" s="51">
        <v>86</v>
      </c>
      <c r="B110" s="216" t="s">
        <v>138</v>
      </c>
      <c r="C110" s="217" t="s">
        <v>57</v>
      </c>
      <c r="D110" s="64" t="s">
        <v>50</v>
      </c>
      <c r="E110" s="51" t="s">
        <v>127</v>
      </c>
      <c r="F110" s="408" t="s">
        <v>546</v>
      </c>
      <c r="G110" s="214">
        <v>4.66</v>
      </c>
      <c r="H110" s="66">
        <v>17697</v>
      </c>
      <c r="I110" s="200">
        <v>2</v>
      </c>
      <c r="J110" s="66">
        <f t="shared" si="18"/>
        <v>164936.04</v>
      </c>
      <c r="K110" s="200">
        <f t="shared" si="20"/>
        <v>0.75</v>
      </c>
      <c r="L110" s="200">
        <f t="shared" si="39"/>
        <v>12</v>
      </c>
      <c r="M110" s="210">
        <v>4</v>
      </c>
      <c r="N110" s="66">
        <f t="shared" si="27"/>
        <v>41234.01</v>
      </c>
      <c r="O110" s="210">
        <v>8</v>
      </c>
      <c r="P110" s="66">
        <f t="shared" si="40"/>
        <v>82468.02</v>
      </c>
      <c r="Q110" s="210"/>
      <c r="R110" s="66">
        <f t="shared" si="28"/>
        <v>0</v>
      </c>
      <c r="S110" s="201">
        <f t="shared" si="58"/>
        <v>30925.5075</v>
      </c>
      <c r="T110" s="66">
        <f t="shared" si="59"/>
        <v>154627.53750000001</v>
      </c>
      <c r="U110" s="66">
        <f t="shared" si="41"/>
        <v>15462.753750000002</v>
      </c>
      <c r="V110" s="66">
        <f t="shared" si="60"/>
        <v>30925.507500000003</v>
      </c>
      <c r="W110" s="210"/>
      <c r="X110" s="66">
        <f t="shared" si="49"/>
        <v>0</v>
      </c>
      <c r="Y110" s="211">
        <v>1</v>
      </c>
      <c r="Z110" s="66">
        <f t="shared" si="50"/>
        <v>10618.199999999999</v>
      </c>
      <c r="AA110" s="210"/>
      <c r="AB110" s="66">
        <f t="shared" si="51"/>
        <v>0</v>
      </c>
      <c r="AC110" s="211"/>
      <c r="AD110" s="66">
        <f t="shared" si="52"/>
        <v>0</v>
      </c>
      <c r="AE110" s="212"/>
      <c r="AF110" s="212"/>
      <c r="AG110" s="66">
        <f t="shared" si="61"/>
        <v>46388.261250000003</v>
      </c>
      <c r="AH110" s="66">
        <v>1</v>
      </c>
      <c r="AI110" s="66">
        <f t="shared" si="54"/>
        <v>221.21250000000001</v>
      </c>
      <c r="AJ110" s="210"/>
      <c r="AK110" s="66">
        <f t="shared" si="55"/>
        <v>0</v>
      </c>
      <c r="AL110" s="210"/>
      <c r="AM110" s="213">
        <f t="shared" si="63"/>
        <v>46388.261250000003</v>
      </c>
      <c r="AN110" s="210"/>
      <c r="AO110" s="210"/>
      <c r="AP110" s="210"/>
      <c r="AQ110" s="66">
        <f t="shared" si="62"/>
        <v>304633.73375000001</v>
      </c>
      <c r="AR110" s="66">
        <f t="shared" si="57"/>
        <v>3655.6048049999999</v>
      </c>
    </row>
    <row r="111" spans="1:44" s="215" customFormat="1" ht="15" customHeight="1">
      <c r="A111" s="51">
        <v>87</v>
      </c>
      <c r="B111" s="216" t="s">
        <v>139</v>
      </c>
      <c r="C111" s="217" t="s">
        <v>140</v>
      </c>
      <c r="D111" s="64" t="s">
        <v>50</v>
      </c>
      <c r="E111" s="51" t="s">
        <v>127</v>
      </c>
      <c r="F111" s="408" t="s">
        <v>531</v>
      </c>
      <c r="G111" s="214">
        <v>4.99</v>
      </c>
      <c r="H111" s="66">
        <v>17697</v>
      </c>
      <c r="I111" s="200">
        <v>2</v>
      </c>
      <c r="J111" s="66">
        <f t="shared" si="18"/>
        <v>176616.06</v>
      </c>
      <c r="K111" s="200">
        <f t="shared" si="20"/>
        <v>1</v>
      </c>
      <c r="L111" s="200">
        <f t="shared" si="39"/>
        <v>16</v>
      </c>
      <c r="M111" s="210"/>
      <c r="N111" s="66">
        <f t="shared" si="27"/>
        <v>0</v>
      </c>
      <c r="O111" s="210">
        <v>10</v>
      </c>
      <c r="P111" s="66">
        <f t="shared" si="40"/>
        <v>110385.03750000001</v>
      </c>
      <c r="Q111" s="210">
        <v>6</v>
      </c>
      <c r="R111" s="66">
        <f t="shared" si="28"/>
        <v>66231.022499999992</v>
      </c>
      <c r="S111" s="201">
        <f t="shared" si="58"/>
        <v>44154.014999999999</v>
      </c>
      <c r="T111" s="66">
        <f t="shared" si="59"/>
        <v>220770.07500000001</v>
      </c>
      <c r="U111" s="66">
        <f t="shared" si="41"/>
        <v>22077.007500000003</v>
      </c>
      <c r="V111" s="66">
        <f t="shared" si="60"/>
        <v>44154.015000000007</v>
      </c>
      <c r="W111" s="210"/>
      <c r="X111" s="66">
        <f t="shared" si="49"/>
        <v>0</v>
      </c>
      <c r="Y111" s="211">
        <v>1</v>
      </c>
      <c r="Z111" s="66">
        <f t="shared" si="50"/>
        <v>10618.199999999999</v>
      </c>
      <c r="AA111" s="210">
        <v>16</v>
      </c>
      <c r="AB111" s="66">
        <f t="shared" si="51"/>
        <v>7078.8</v>
      </c>
      <c r="AC111" s="211"/>
      <c r="AD111" s="66">
        <f t="shared" si="52"/>
        <v>0</v>
      </c>
      <c r="AE111" s="212"/>
      <c r="AF111" s="212"/>
      <c r="AG111" s="66">
        <f t="shared" si="61"/>
        <v>66231.022500000006</v>
      </c>
      <c r="AH111" s="66"/>
      <c r="AI111" s="66">
        <f t="shared" si="54"/>
        <v>0</v>
      </c>
      <c r="AJ111" s="210"/>
      <c r="AK111" s="66">
        <f t="shared" si="55"/>
        <v>0</v>
      </c>
      <c r="AL111" s="210"/>
      <c r="AM111" s="213">
        <f t="shared" si="63"/>
        <v>66231.022500000006</v>
      </c>
      <c r="AN111" s="210"/>
      <c r="AO111" s="210"/>
      <c r="AP111" s="210"/>
      <c r="AQ111" s="66">
        <f t="shared" si="62"/>
        <v>437177.14250000007</v>
      </c>
      <c r="AR111" s="66">
        <f t="shared" si="57"/>
        <v>5246.1257100000012</v>
      </c>
    </row>
    <row r="112" spans="1:44" s="215" customFormat="1" ht="15" customHeight="1">
      <c r="A112" s="51">
        <v>88</v>
      </c>
      <c r="B112" s="216" t="s">
        <v>141</v>
      </c>
      <c r="C112" s="217" t="s">
        <v>60</v>
      </c>
      <c r="D112" s="64" t="s">
        <v>50</v>
      </c>
      <c r="E112" s="51" t="s">
        <v>127</v>
      </c>
      <c r="F112" s="451" t="s">
        <v>547</v>
      </c>
      <c r="G112" s="452">
        <v>4.59</v>
      </c>
      <c r="H112" s="66">
        <v>17697</v>
      </c>
      <c r="I112" s="200">
        <v>2</v>
      </c>
      <c r="J112" s="66">
        <f t="shared" si="18"/>
        <v>162458.46</v>
      </c>
      <c r="K112" s="200">
        <f t="shared" si="20"/>
        <v>1</v>
      </c>
      <c r="L112" s="200">
        <f t="shared" si="39"/>
        <v>16</v>
      </c>
      <c r="M112" s="210">
        <v>4</v>
      </c>
      <c r="N112" s="66">
        <f t="shared" si="27"/>
        <v>40614.614999999998</v>
      </c>
      <c r="O112" s="210">
        <v>12</v>
      </c>
      <c r="P112" s="66">
        <f t="shared" si="40"/>
        <v>121843.845</v>
      </c>
      <c r="Q112" s="210"/>
      <c r="R112" s="66">
        <f t="shared" si="28"/>
        <v>0</v>
      </c>
      <c r="S112" s="201">
        <f t="shared" si="58"/>
        <v>40614.614999999998</v>
      </c>
      <c r="T112" s="66">
        <f t="shared" si="59"/>
        <v>203073.07499999998</v>
      </c>
      <c r="U112" s="66">
        <f t="shared" si="41"/>
        <v>20307.307499999999</v>
      </c>
      <c r="V112" s="66">
        <f t="shared" si="60"/>
        <v>40614.614999999998</v>
      </c>
      <c r="W112" s="210"/>
      <c r="X112" s="66">
        <f t="shared" si="49"/>
        <v>0</v>
      </c>
      <c r="Y112" s="211">
        <v>1</v>
      </c>
      <c r="Z112" s="66">
        <f t="shared" si="50"/>
        <v>10618.199999999999</v>
      </c>
      <c r="AA112" s="210">
        <v>16</v>
      </c>
      <c r="AB112" s="66">
        <f t="shared" si="51"/>
        <v>7078.8</v>
      </c>
      <c r="AC112" s="211"/>
      <c r="AD112" s="66">
        <f t="shared" si="52"/>
        <v>0</v>
      </c>
      <c r="AE112" s="212"/>
      <c r="AF112" s="212"/>
      <c r="AG112" s="66">
        <f t="shared" si="61"/>
        <v>60921.922499999993</v>
      </c>
      <c r="AH112" s="66"/>
      <c r="AI112" s="66">
        <f t="shared" si="54"/>
        <v>0</v>
      </c>
      <c r="AJ112" s="210"/>
      <c r="AK112" s="66">
        <f t="shared" si="55"/>
        <v>0</v>
      </c>
      <c r="AL112" s="210"/>
      <c r="AM112" s="213">
        <f t="shared" si="63"/>
        <v>60921.922499999993</v>
      </c>
      <c r="AN112" s="210"/>
      <c r="AO112" s="210"/>
      <c r="AP112" s="210"/>
      <c r="AQ112" s="66">
        <f t="shared" si="62"/>
        <v>403552.84249999997</v>
      </c>
      <c r="AR112" s="66">
        <f t="shared" si="57"/>
        <v>4842.6341099999991</v>
      </c>
    </row>
    <row r="113" spans="1:44" s="215" customFormat="1" ht="15" customHeight="1">
      <c r="A113" s="51">
        <v>89</v>
      </c>
      <c r="B113" s="216" t="s">
        <v>142</v>
      </c>
      <c r="C113" s="217" t="s">
        <v>60</v>
      </c>
      <c r="D113" s="64" t="s">
        <v>50</v>
      </c>
      <c r="E113" s="221" t="s">
        <v>127</v>
      </c>
      <c r="F113" s="410">
        <v>7</v>
      </c>
      <c r="G113" s="222">
        <v>4.74</v>
      </c>
      <c r="H113" s="66">
        <v>17697</v>
      </c>
      <c r="I113" s="200">
        <v>2</v>
      </c>
      <c r="J113" s="66">
        <f t="shared" si="18"/>
        <v>167767.56</v>
      </c>
      <c r="K113" s="200">
        <f t="shared" si="20"/>
        <v>1.125</v>
      </c>
      <c r="L113" s="200">
        <f t="shared" si="39"/>
        <v>18</v>
      </c>
      <c r="M113" s="210">
        <v>2</v>
      </c>
      <c r="N113" s="66">
        <f t="shared" si="27"/>
        <v>20970.945</v>
      </c>
      <c r="O113" s="210">
        <v>13</v>
      </c>
      <c r="P113" s="66">
        <f t="shared" si="40"/>
        <v>136311.14249999999</v>
      </c>
      <c r="Q113" s="210">
        <v>3</v>
      </c>
      <c r="R113" s="66">
        <f t="shared" si="28"/>
        <v>31456.4175</v>
      </c>
      <c r="S113" s="201">
        <f t="shared" si="58"/>
        <v>47184.626250000001</v>
      </c>
      <c r="T113" s="66">
        <f t="shared" si="59"/>
        <v>235923.13125000001</v>
      </c>
      <c r="U113" s="66">
        <f t="shared" si="41"/>
        <v>23592.313125000001</v>
      </c>
      <c r="V113" s="66">
        <f t="shared" si="60"/>
        <v>47184.626250000001</v>
      </c>
      <c r="W113" s="210"/>
      <c r="X113" s="66">
        <f t="shared" si="49"/>
        <v>0</v>
      </c>
      <c r="Y113" s="211">
        <v>1</v>
      </c>
      <c r="Z113" s="66">
        <f t="shared" si="50"/>
        <v>10618.199999999999</v>
      </c>
      <c r="AA113" s="210">
        <v>18</v>
      </c>
      <c r="AB113" s="66">
        <f t="shared" si="51"/>
        <v>7963.6500000000005</v>
      </c>
      <c r="AC113" s="211"/>
      <c r="AD113" s="66">
        <f t="shared" si="52"/>
        <v>0</v>
      </c>
      <c r="AE113" s="212">
        <v>34500</v>
      </c>
      <c r="AF113" s="212"/>
      <c r="AG113" s="66">
        <f t="shared" si="61"/>
        <v>70776.939375000002</v>
      </c>
      <c r="AH113" s="66">
        <v>18</v>
      </c>
      <c r="AI113" s="66">
        <f t="shared" si="54"/>
        <v>3981.8250000000003</v>
      </c>
      <c r="AJ113" s="210"/>
      <c r="AK113" s="66">
        <f t="shared" si="55"/>
        <v>0</v>
      </c>
      <c r="AL113" s="210"/>
      <c r="AM113" s="213">
        <f t="shared" si="63"/>
        <v>70776.939375000002</v>
      </c>
      <c r="AN113" s="210"/>
      <c r="AO113" s="210"/>
      <c r="AP113" s="210"/>
      <c r="AQ113" s="66">
        <f t="shared" si="62"/>
        <v>505354.62437500013</v>
      </c>
      <c r="AR113" s="66">
        <f t="shared" si="57"/>
        <v>6064.2554925000013</v>
      </c>
    </row>
    <row r="114" spans="1:44" s="215" customFormat="1" ht="15" customHeight="1">
      <c r="A114" s="51">
        <v>90</v>
      </c>
      <c r="B114" s="216" t="s">
        <v>168</v>
      </c>
      <c r="C114" s="217" t="s">
        <v>55</v>
      </c>
      <c r="D114" s="64" t="s">
        <v>50</v>
      </c>
      <c r="E114" s="51" t="s">
        <v>127</v>
      </c>
      <c r="F114" s="408" t="s">
        <v>449</v>
      </c>
      <c r="G114" s="214">
        <v>5.08</v>
      </c>
      <c r="H114" s="66">
        <v>17697</v>
      </c>
      <c r="I114" s="200">
        <v>2</v>
      </c>
      <c r="J114" s="66">
        <f t="shared" si="18"/>
        <v>179801.52</v>
      </c>
      <c r="K114" s="200">
        <f>(M114+O114+Q114)/16</f>
        <v>1.3125</v>
      </c>
      <c r="L114" s="200">
        <f t="shared" si="39"/>
        <v>21</v>
      </c>
      <c r="M114" s="210"/>
      <c r="N114" s="66">
        <f t="shared" si="27"/>
        <v>0</v>
      </c>
      <c r="O114" s="210">
        <v>21</v>
      </c>
      <c r="P114" s="66">
        <f t="shared" si="40"/>
        <v>235989.495</v>
      </c>
      <c r="Q114" s="210"/>
      <c r="R114" s="66">
        <f t="shared" si="28"/>
        <v>0</v>
      </c>
      <c r="S114" s="201">
        <f t="shared" si="58"/>
        <v>58997.373749999999</v>
      </c>
      <c r="T114" s="66">
        <f t="shared" si="59"/>
        <v>294986.86875000002</v>
      </c>
      <c r="U114" s="66">
        <f t="shared" si="41"/>
        <v>29498.686875000003</v>
      </c>
      <c r="V114" s="66">
        <f t="shared" si="60"/>
        <v>58997.373750000006</v>
      </c>
      <c r="W114" s="210"/>
      <c r="X114" s="66">
        <f t="shared" si="49"/>
        <v>0</v>
      </c>
      <c r="Y114" s="211"/>
      <c r="Z114" s="66">
        <f t="shared" si="50"/>
        <v>0</v>
      </c>
      <c r="AA114" s="210"/>
      <c r="AB114" s="66">
        <f t="shared" si="51"/>
        <v>0</v>
      </c>
      <c r="AC114" s="211">
        <v>21</v>
      </c>
      <c r="AD114" s="66">
        <f t="shared" si="52"/>
        <v>9290.9250000000011</v>
      </c>
      <c r="AE114" s="212"/>
      <c r="AF114" s="212"/>
      <c r="AG114" s="66">
        <f>T114*30%</f>
        <v>88496.060624999998</v>
      </c>
      <c r="AH114" s="66"/>
      <c r="AI114" s="66">
        <f t="shared" si="54"/>
        <v>0</v>
      </c>
      <c r="AJ114" s="210"/>
      <c r="AK114" s="66">
        <f t="shared" si="55"/>
        <v>0</v>
      </c>
      <c r="AL114" s="210"/>
      <c r="AM114" s="213">
        <f t="shared" ref="AM114:AM129" si="64">T114*30%</f>
        <v>88496.060624999998</v>
      </c>
      <c r="AN114" s="210"/>
      <c r="AO114" s="210"/>
      <c r="AP114" s="210"/>
      <c r="AQ114" s="66">
        <f>SUM(T114:AP114)</f>
        <v>569786.97562500008</v>
      </c>
      <c r="AR114" s="66">
        <f>AQ114*12/1000</f>
        <v>6837.4437075000014</v>
      </c>
    </row>
    <row r="115" spans="1:44" s="215" customFormat="1" ht="15" customHeight="1">
      <c r="A115" s="51">
        <v>91</v>
      </c>
      <c r="B115" s="216" t="s">
        <v>143</v>
      </c>
      <c r="C115" s="217" t="s">
        <v>49</v>
      </c>
      <c r="D115" s="64" t="s">
        <v>50</v>
      </c>
      <c r="E115" s="51" t="s">
        <v>127</v>
      </c>
      <c r="F115" s="408" t="s">
        <v>548</v>
      </c>
      <c r="G115" s="214">
        <v>5.08</v>
      </c>
      <c r="H115" s="66">
        <v>17697</v>
      </c>
      <c r="I115" s="200">
        <v>2</v>
      </c>
      <c r="J115" s="66">
        <f t="shared" si="18"/>
        <v>179801.52</v>
      </c>
      <c r="K115" s="200">
        <f t="shared" si="20"/>
        <v>1.25</v>
      </c>
      <c r="L115" s="200">
        <f t="shared" si="39"/>
        <v>20</v>
      </c>
      <c r="M115" s="210">
        <v>9</v>
      </c>
      <c r="N115" s="66">
        <f t="shared" si="27"/>
        <v>101138.355</v>
      </c>
      <c r="O115" s="210">
        <v>9</v>
      </c>
      <c r="P115" s="66">
        <f t="shared" si="40"/>
        <v>101138.355</v>
      </c>
      <c r="Q115" s="210">
        <v>2</v>
      </c>
      <c r="R115" s="66">
        <f t="shared" si="28"/>
        <v>22475.19</v>
      </c>
      <c r="S115" s="201">
        <f t="shared" si="58"/>
        <v>56187.974999999999</v>
      </c>
      <c r="T115" s="66">
        <f t="shared" si="59"/>
        <v>280939.875</v>
      </c>
      <c r="U115" s="66">
        <f t="shared" si="41"/>
        <v>28093.987500000003</v>
      </c>
      <c r="V115" s="66">
        <f t="shared" si="60"/>
        <v>56187.975000000006</v>
      </c>
      <c r="W115" s="210"/>
      <c r="X115" s="66">
        <f t="shared" si="49"/>
        <v>0</v>
      </c>
      <c r="Y115" s="211"/>
      <c r="Z115" s="66">
        <f t="shared" si="50"/>
        <v>0</v>
      </c>
      <c r="AA115" s="210"/>
      <c r="AB115" s="66">
        <f t="shared" si="51"/>
        <v>0</v>
      </c>
      <c r="AC115" s="211"/>
      <c r="AD115" s="66">
        <f t="shared" si="52"/>
        <v>0</v>
      </c>
      <c r="AE115" s="212"/>
      <c r="AF115" s="212"/>
      <c r="AG115" s="66">
        <f t="shared" si="61"/>
        <v>84281.962499999994</v>
      </c>
      <c r="AH115" s="66"/>
      <c r="AI115" s="66">
        <f t="shared" si="54"/>
        <v>0</v>
      </c>
      <c r="AJ115" s="210"/>
      <c r="AK115" s="66">
        <f t="shared" si="55"/>
        <v>0</v>
      </c>
      <c r="AL115" s="210">
        <v>3539</v>
      </c>
      <c r="AM115" s="213">
        <f t="shared" si="64"/>
        <v>84281.962499999994</v>
      </c>
      <c r="AN115" s="210"/>
      <c r="AO115" s="210"/>
      <c r="AP115" s="210"/>
      <c r="AQ115" s="66">
        <f t="shared" si="62"/>
        <v>537324.76250000007</v>
      </c>
      <c r="AR115" s="66">
        <f t="shared" si="57"/>
        <v>6447.8971500000007</v>
      </c>
    </row>
    <row r="116" spans="1:44" s="215" customFormat="1" ht="15" customHeight="1">
      <c r="A116" s="51">
        <v>92</v>
      </c>
      <c r="B116" s="216" t="s">
        <v>144</v>
      </c>
      <c r="C116" s="217" t="s">
        <v>60</v>
      </c>
      <c r="D116" s="64" t="s">
        <v>50</v>
      </c>
      <c r="E116" s="51" t="s">
        <v>127</v>
      </c>
      <c r="F116" s="453" t="s">
        <v>460</v>
      </c>
      <c r="G116" s="222">
        <v>4.66</v>
      </c>
      <c r="H116" s="66">
        <v>17697</v>
      </c>
      <c r="I116" s="200">
        <v>2</v>
      </c>
      <c r="J116" s="66">
        <f t="shared" si="18"/>
        <v>164936.04</v>
      </c>
      <c r="K116" s="200">
        <f t="shared" si="20"/>
        <v>0.9375</v>
      </c>
      <c r="L116" s="200">
        <f t="shared" si="39"/>
        <v>15</v>
      </c>
      <c r="M116" s="210">
        <v>2</v>
      </c>
      <c r="N116" s="66">
        <f t="shared" si="27"/>
        <v>20617.005000000001</v>
      </c>
      <c r="O116" s="210">
        <v>13</v>
      </c>
      <c r="P116" s="66">
        <f t="shared" si="40"/>
        <v>134010.5325</v>
      </c>
      <c r="Q116" s="210">
        <v>0</v>
      </c>
      <c r="R116" s="66">
        <f t="shared" si="28"/>
        <v>0</v>
      </c>
      <c r="S116" s="201">
        <f t="shared" si="58"/>
        <v>38656.884375000001</v>
      </c>
      <c r="T116" s="66">
        <f t="shared" si="59"/>
        <v>193284.421875</v>
      </c>
      <c r="U116" s="66">
        <f t="shared" si="41"/>
        <v>19328.442187500001</v>
      </c>
      <c r="V116" s="66">
        <f t="shared" si="60"/>
        <v>38656.884375000001</v>
      </c>
      <c r="W116" s="210"/>
      <c r="X116" s="66">
        <f t="shared" si="49"/>
        <v>0</v>
      </c>
      <c r="Y116" s="211">
        <v>1</v>
      </c>
      <c r="Z116" s="66">
        <f t="shared" si="50"/>
        <v>10618.199999999999</v>
      </c>
      <c r="AA116" s="210">
        <v>15</v>
      </c>
      <c r="AB116" s="66">
        <f t="shared" si="51"/>
        <v>6636.375</v>
      </c>
      <c r="AC116" s="211"/>
      <c r="AD116" s="66">
        <f t="shared" si="52"/>
        <v>0</v>
      </c>
      <c r="AE116" s="212"/>
      <c r="AF116" s="212"/>
      <c r="AG116" s="66">
        <f t="shared" si="61"/>
        <v>57985.326562499999</v>
      </c>
      <c r="AH116" s="66">
        <v>6</v>
      </c>
      <c r="AI116" s="66">
        <f t="shared" si="54"/>
        <v>1327.2750000000001</v>
      </c>
      <c r="AJ116" s="210"/>
      <c r="AK116" s="66">
        <f t="shared" si="55"/>
        <v>0</v>
      </c>
      <c r="AL116" s="210"/>
      <c r="AM116" s="213">
        <f t="shared" si="64"/>
        <v>57985.326562499999</v>
      </c>
      <c r="AN116" s="213"/>
      <c r="AO116" s="210"/>
      <c r="AP116" s="210"/>
      <c r="AQ116" s="66">
        <f t="shared" si="62"/>
        <v>385844.25156250002</v>
      </c>
      <c r="AR116" s="66">
        <f t="shared" si="57"/>
        <v>4630.1310187500003</v>
      </c>
    </row>
    <row r="117" spans="1:44" s="215" customFormat="1" ht="15" customHeight="1">
      <c r="A117" s="51">
        <v>93</v>
      </c>
      <c r="B117" s="216" t="s">
        <v>452</v>
      </c>
      <c r="C117" s="217" t="s">
        <v>49</v>
      </c>
      <c r="D117" s="64" t="s">
        <v>50</v>
      </c>
      <c r="E117" s="51" t="s">
        <v>127</v>
      </c>
      <c r="F117" s="453" t="s">
        <v>549</v>
      </c>
      <c r="G117" s="222">
        <v>4.59</v>
      </c>
      <c r="H117" s="66">
        <v>17697</v>
      </c>
      <c r="I117" s="200">
        <v>2</v>
      </c>
      <c r="J117" s="66">
        <f t="shared" si="18"/>
        <v>162458.46</v>
      </c>
      <c r="K117" s="200">
        <v>0</v>
      </c>
      <c r="L117" s="200">
        <f t="shared" si="39"/>
        <v>20</v>
      </c>
      <c r="M117" s="210">
        <v>15</v>
      </c>
      <c r="N117" s="66">
        <f t="shared" si="27"/>
        <v>152304.80624999999</v>
      </c>
      <c r="O117" s="210">
        <v>4</v>
      </c>
      <c r="P117" s="66">
        <f t="shared" si="40"/>
        <v>40614.614999999998</v>
      </c>
      <c r="Q117" s="210">
        <v>1</v>
      </c>
      <c r="R117" s="66">
        <f t="shared" si="28"/>
        <v>10153.653749999999</v>
      </c>
      <c r="S117" s="201">
        <f t="shared" si="58"/>
        <v>50768.268749999996</v>
      </c>
      <c r="T117" s="66">
        <f t="shared" si="59"/>
        <v>253841.34374999997</v>
      </c>
      <c r="U117" s="66">
        <f t="shared" si="41"/>
        <v>25384.134374999998</v>
      </c>
      <c r="V117" s="66">
        <f t="shared" si="60"/>
        <v>50768.268749999996</v>
      </c>
      <c r="W117" s="210"/>
      <c r="X117" s="66">
        <f t="shared" ref="X117:X158" si="65">(H117*W117)*50%</f>
        <v>0</v>
      </c>
      <c r="Y117" s="211">
        <v>1</v>
      </c>
      <c r="Z117" s="66">
        <f t="shared" ref="Z117:Z158" si="66">H117*Y117*60%</f>
        <v>10618.199999999999</v>
      </c>
      <c r="AA117" s="210"/>
      <c r="AB117" s="66">
        <f t="shared" ref="AB117:AB158" si="67">((H117*40%/16*AA117))</f>
        <v>0</v>
      </c>
      <c r="AC117" s="211"/>
      <c r="AD117" s="66">
        <f t="shared" ref="AD117:AD158" si="68">((H117*40%/16*AC117))</f>
        <v>0</v>
      </c>
      <c r="AE117" s="212"/>
      <c r="AF117" s="212"/>
      <c r="AG117" s="66">
        <f t="shared" ref="AG117:AG158" si="69">T117*30%</f>
        <v>76152.403124999983</v>
      </c>
      <c r="AH117" s="66"/>
      <c r="AI117" s="66">
        <f t="shared" ref="AI117:AI158" si="70">((H117*20%/16*AH117))</f>
        <v>0</v>
      </c>
      <c r="AJ117" s="210"/>
      <c r="AK117" s="66">
        <f t="shared" ref="AK117:AK158" si="71">((H117*40%/16*AJ117))</f>
        <v>0</v>
      </c>
      <c r="AL117" s="210"/>
      <c r="AM117" s="213">
        <f t="shared" si="64"/>
        <v>76152.403124999983</v>
      </c>
      <c r="AN117" s="213"/>
      <c r="AO117" s="210"/>
      <c r="AP117" s="210"/>
      <c r="AQ117" s="66">
        <f t="shared" ref="AQ117:AQ129" si="72">SUM(T117:AP117)</f>
        <v>492917.75312499993</v>
      </c>
      <c r="AR117" s="66">
        <f t="shared" ref="AR117:AR129" si="73">AQ117*12/1000</f>
        <v>5915.0130374999999</v>
      </c>
    </row>
    <row r="118" spans="1:44" s="215" customFormat="1" ht="15" customHeight="1">
      <c r="A118" s="51">
        <v>94</v>
      </c>
      <c r="B118" s="216" t="s">
        <v>454</v>
      </c>
      <c r="C118" s="217" t="s">
        <v>60</v>
      </c>
      <c r="D118" s="64" t="s">
        <v>50</v>
      </c>
      <c r="E118" s="51" t="s">
        <v>127</v>
      </c>
      <c r="F118" s="453" t="s">
        <v>546</v>
      </c>
      <c r="G118" s="222">
        <v>4.59</v>
      </c>
      <c r="H118" s="66">
        <v>17697</v>
      </c>
      <c r="I118" s="200">
        <v>2</v>
      </c>
      <c r="J118" s="66">
        <f t="shared" si="18"/>
        <v>162458.46</v>
      </c>
      <c r="K118" s="200">
        <v>0</v>
      </c>
      <c r="L118" s="200">
        <f t="shared" si="39"/>
        <v>16</v>
      </c>
      <c r="M118" s="210">
        <v>3</v>
      </c>
      <c r="N118" s="66">
        <f t="shared" si="27"/>
        <v>30460.96125</v>
      </c>
      <c r="O118" s="210">
        <v>13</v>
      </c>
      <c r="P118" s="66">
        <f t="shared" si="40"/>
        <v>131997.49875</v>
      </c>
      <c r="Q118" s="210"/>
      <c r="R118" s="66">
        <f t="shared" si="28"/>
        <v>0</v>
      </c>
      <c r="S118" s="201">
        <f t="shared" si="58"/>
        <v>40614.614999999998</v>
      </c>
      <c r="T118" s="66">
        <f t="shared" si="59"/>
        <v>203073.07499999998</v>
      </c>
      <c r="U118" s="66">
        <f t="shared" si="41"/>
        <v>20307.307499999999</v>
      </c>
      <c r="V118" s="66">
        <f t="shared" si="60"/>
        <v>40614.614999999998</v>
      </c>
      <c r="W118" s="210"/>
      <c r="X118" s="66">
        <f t="shared" si="65"/>
        <v>0</v>
      </c>
      <c r="Y118" s="211"/>
      <c r="Z118" s="66">
        <f t="shared" si="66"/>
        <v>0</v>
      </c>
      <c r="AA118" s="210">
        <v>16</v>
      </c>
      <c r="AB118" s="66">
        <f t="shared" si="67"/>
        <v>7078.8</v>
      </c>
      <c r="AC118" s="211"/>
      <c r="AD118" s="66">
        <f t="shared" si="68"/>
        <v>0</v>
      </c>
      <c r="AE118" s="212">
        <v>34500</v>
      </c>
      <c r="AF118" s="212"/>
      <c r="AG118" s="66">
        <f t="shared" si="69"/>
        <v>60921.922499999993</v>
      </c>
      <c r="AH118" s="66">
        <v>4</v>
      </c>
      <c r="AI118" s="66">
        <f t="shared" si="70"/>
        <v>884.85</v>
      </c>
      <c r="AJ118" s="210"/>
      <c r="AK118" s="66">
        <f t="shared" si="71"/>
        <v>0</v>
      </c>
      <c r="AL118" s="210"/>
      <c r="AM118" s="213">
        <f t="shared" si="64"/>
        <v>60921.922499999993</v>
      </c>
      <c r="AN118" s="213"/>
      <c r="AO118" s="210"/>
      <c r="AP118" s="210"/>
      <c r="AQ118" s="66">
        <f t="shared" si="72"/>
        <v>428322.49249999993</v>
      </c>
      <c r="AR118" s="66">
        <f t="shared" si="73"/>
        <v>5139.8699099999994</v>
      </c>
    </row>
    <row r="119" spans="1:44" s="215" customFormat="1" ht="15" customHeight="1">
      <c r="A119" s="51">
        <v>95</v>
      </c>
      <c r="B119" s="216" t="s">
        <v>455</v>
      </c>
      <c r="C119" s="217" t="s">
        <v>60</v>
      </c>
      <c r="D119" s="64" t="s">
        <v>50</v>
      </c>
      <c r="E119" s="51" t="s">
        <v>127</v>
      </c>
      <c r="F119" s="453" t="s">
        <v>446</v>
      </c>
      <c r="G119" s="222">
        <v>4.66</v>
      </c>
      <c r="H119" s="66">
        <v>17697</v>
      </c>
      <c r="I119" s="200">
        <v>2</v>
      </c>
      <c r="J119" s="66">
        <f t="shared" si="18"/>
        <v>164936.04</v>
      </c>
      <c r="K119" s="200">
        <v>0</v>
      </c>
      <c r="L119" s="200">
        <f t="shared" si="39"/>
        <v>16</v>
      </c>
      <c r="M119" s="210">
        <v>3</v>
      </c>
      <c r="N119" s="66">
        <f t="shared" si="27"/>
        <v>30925.5075</v>
      </c>
      <c r="O119" s="210">
        <v>10</v>
      </c>
      <c r="P119" s="66">
        <f t="shared" si="40"/>
        <v>103085.02500000001</v>
      </c>
      <c r="Q119" s="210">
        <v>3</v>
      </c>
      <c r="R119" s="66">
        <f t="shared" si="28"/>
        <v>30925.5075</v>
      </c>
      <c r="S119" s="201">
        <f t="shared" si="58"/>
        <v>41234.01</v>
      </c>
      <c r="T119" s="66">
        <f t="shared" si="59"/>
        <v>206170.05000000002</v>
      </c>
      <c r="U119" s="66">
        <f t="shared" si="41"/>
        <v>20617.005000000005</v>
      </c>
      <c r="V119" s="66">
        <f t="shared" si="60"/>
        <v>41234.010000000009</v>
      </c>
      <c r="W119" s="210"/>
      <c r="X119" s="66">
        <f t="shared" si="65"/>
        <v>0</v>
      </c>
      <c r="Y119" s="211">
        <v>1</v>
      </c>
      <c r="Z119" s="66">
        <f t="shared" si="66"/>
        <v>10618.199999999999</v>
      </c>
      <c r="AA119" s="210">
        <v>16</v>
      </c>
      <c r="AB119" s="66">
        <f t="shared" si="67"/>
        <v>7078.8</v>
      </c>
      <c r="AC119" s="211"/>
      <c r="AD119" s="66">
        <f t="shared" si="68"/>
        <v>0</v>
      </c>
      <c r="AE119" s="212"/>
      <c r="AF119" s="212"/>
      <c r="AG119" s="66">
        <f t="shared" si="69"/>
        <v>61851.014999999999</v>
      </c>
      <c r="AH119" s="66">
        <v>16</v>
      </c>
      <c r="AI119" s="66">
        <f t="shared" si="70"/>
        <v>3539.4</v>
      </c>
      <c r="AJ119" s="210"/>
      <c r="AK119" s="66">
        <f t="shared" si="71"/>
        <v>0</v>
      </c>
      <c r="AL119" s="210"/>
      <c r="AM119" s="213">
        <f t="shared" si="64"/>
        <v>61851.014999999999</v>
      </c>
      <c r="AN119" s="213"/>
      <c r="AO119" s="210"/>
      <c r="AP119" s="210"/>
      <c r="AQ119" s="66">
        <f t="shared" si="72"/>
        <v>412992.49500000011</v>
      </c>
      <c r="AR119" s="66">
        <f t="shared" si="73"/>
        <v>4955.9099400000014</v>
      </c>
    </row>
    <row r="120" spans="1:44" s="215" customFormat="1" ht="15" customHeight="1">
      <c r="A120" s="51">
        <v>96</v>
      </c>
      <c r="B120" s="102" t="s">
        <v>562</v>
      </c>
      <c r="C120" s="217" t="s">
        <v>563</v>
      </c>
      <c r="D120" s="64" t="s">
        <v>50</v>
      </c>
      <c r="E120" s="51" t="s">
        <v>127</v>
      </c>
      <c r="F120" s="410">
        <v>11</v>
      </c>
      <c r="G120" s="214">
        <v>4.8099999999999996</v>
      </c>
      <c r="H120" s="66">
        <v>17697</v>
      </c>
      <c r="I120" s="200">
        <v>2</v>
      </c>
      <c r="J120" s="66">
        <f t="shared" si="18"/>
        <v>170245.13999999998</v>
      </c>
      <c r="K120" s="200">
        <f t="shared" ref="K120:K129" si="74">(M120+O120+Q120)/16</f>
        <v>1</v>
      </c>
      <c r="L120" s="200">
        <f t="shared" si="39"/>
        <v>16</v>
      </c>
      <c r="M120" s="210"/>
      <c r="N120" s="66">
        <f t="shared" si="27"/>
        <v>0</v>
      </c>
      <c r="O120" s="210">
        <v>14</v>
      </c>
      <c r="P120" s="66">
        <f t="shared" si="40"/>
        <v>148964.4975</v>
      </c>
      <c r="Q120" s="210">
        <v>2</v>
      </c>
      <c r="R120" s="66">
        <f t="shared" si="28"/>
        <v>21280.642499999998</v>
      </c>
      <c r="S120" s="201">
        <f t="shared" si="58"/>
        <v>42561.284999999996</v>
      </c>
      <c r="T120" s="66">
        <f t="shared" si="59"/>
        <v>212806.42499999999</v>
      </c>
      <c r="U120" s="66">
        <f t="shared" si="41"/>
        <v>21280.642500000002</v>
      </c>
      <c r="V120" s="66">
        <f t="shared" si="60"/>
        <v>42561.285000000003</v>
      </c>
      <c r="W120" s="210"/>
      <c r="X120" s="66">
        <f t="shared" si="65"/>
        <v>0</v>
      </c>
      <c r="Y120" s="211">
        <v>1</v>
      </c>
      <c r="Z120" s="66">
        <f t="shared" si="66"/>
        <v>10618.199999999999</v>
      </c>
      <c r="AA120" s="210">
        <v>16</v>
      </c>
      <c r="AB120" s="66">
        <f t="shared" si="67"/>
        <v>7078.8</v>
      </c>
      <c r="AC120" s="211"/>
      <c r="AD120" s="66">
        <f t="shared" si="68"/>
        <v>0</v>
      </c>
      <c r="AE120" s="212">
        <v>34500</v>
      </c>
      <c r="AF120" s="212"/>
      <c r="AG120" s="66">
        <f t="shared" si="69"/>
        <v>63841.927499999991</v>
      </c>
      <c r="AH120" s="66"/>
      <c r="AI120" s="66">
        <f t="shared" si="70"/>
        <v>0</v>
      </c>
      <c r="AJ120" s="210"/>
      <c r="AK120" s="66">
        <f t="shared" si="71"/>
        <v>0</v>
      </c>
      <c r="AL120" s="210"/>
      <c r="AM120" s="213">
        <f t="shared" si="64"/>
        <v>63841.927499999991</v>
      </c>
      <c r="AN120" s="210"/>
      <c r="AO120" s="210"/>
      <c r="AP120" s="210"/>
      <c r="AQ120" s="66">
        <f t="shared" si="72"/>
        <v>456546.20750000002</v>
      </c>
      <c r="AR120" s="66">
        <f t="shared" si="73"/>
        <v>5478.5544900000004</v>
      </c>
    </row>
    <row r="121" spans="1:44" s="215" customFormat="1" ht="15" customHeight="1">
      <c r="A121" s="51">
        <v>97</v>
      </c>
      <c r="B121" s="63" t="s">
        <v>217</v>
      </c>
      <c r="C121" s="80" t="s">
        <v>800</v>
      </c>
      <c r="D121" s="64" t="s">
        <v>50</v>
      </c>
      <c r="E121" s="51" t="s">
        <v>127</v>
      </c>
      <c r="F121" s="411">
        <v>8</v>
      </c>
      <c r="G121" s="214">
        <v>4.74</v>
      </c>
      <c r="H121" s="66">
        <v>17697</v>
      </c>
      <c r="I121" s="200">
        <v>2</v>
      </c>
      <c r="J121" s="66">
        <f t="shared" si="18"/>
        <v>167767.56</v>
      </c>
      <c r="K121" s="200">
        <f t="shared" si="74"/>
        <v>0.3125</v>
      </c>
      <c r="L121" s="200">
        <f t="shared" si="39"/>
        <v>5</v>
      </c>
      <c r="M121" s="210"/>
      <c r="N121" s="66">
        <f t="shared" si="27"/>
        <v>0</v>
      </c>
      <c r="O121" s="210">
        <v>5</v>
      </c>
      <c r="P121" s="66">
        <f t="shared" si="40"/>
        <v>52427.362500000003</v>
      </c>
      <c r="Q121" s="210"/>
      <c r="R121" s="66">
        <f t="shared" si="28"/>
        <v>0</v>
      </c>
      <c r="S121" s="201">
        <f t="shared" si="58"/>
        <v>13106.840625000001</v>
      </c>
      <c r="T121" s="66">
        <f t="shared" si="59"/>
        <v>65534.203125</v>
      </c>
      <c r="U121" s="66">
        <f t="shared" si="41"/>
        <v>6553.4203125000004</v>
      </c>
      <c r="V121" s="66">
        <f t="shared" si="60"/>
        <v>13106.840625000001</v>
      </c>
      <c r="W121" s="210"/>
      <c r="X121" s="66">
        <f t="shared" si="65"/>
        <v>0</v>
      </c>
      <c r="Y121" s="211">
        <v>1</v>
      </c>
      <c r="Z121" s="66">
        <f t="shared" si="66"/>
        <v>10618.199999999999</v>
      </c>
      <c r="AA121" s="210"/>
      <c r="AB121" s="66">
        <f t="shared" si="67"/>
        <v>0</v>
      </c>
      <c r="AC121" s="211"/>
      <c r="AD121" s="66">
        <f t="shared" si="68"/>
        <v>0</v>
      </c>
      <c r="AE121" s="212"/>
      <c r="AF121" s="212"/>
      <c r="AG121" s="66">
        <f t="shared" si="69"/>
        <v>19660.260937499999</v>
      </c>
      <c r="AH121" s="66"/>
      <c r="AI121" s="66">
        <f t="shared" si="70"/>
        <v>0</v>
      </c>
      <c r="AJ121" s="210"/>
      <c r="AK121" s="66">
        <f t="shared" si="71"/>
        <v>0</v>
      </c>
      <c r="AL121" s="210"/>
      <c r="AM121" s="213">
        <f t="shared" si="64"/>
        <v>19660.260937499999</v>
      </c>
      <c r="AN121" s="210"/>
      <c r="AO121" s="210"/>
      <c r="AP121" s="210"/>
      <c r="AQ121" s="66">
        <f t="shared" si="72"/>
        <v>135134.18593750001</v>
      </c>
      <c r="AR121" s="66">
        <f t="shared" si="73"/>
        <v>1621.6102312500002</v>
      </c>
    </row>
    <row r="122" spans="1:44" s="215" customFormat="1" ht="15" customHeight="1">
      <c r="A122" s="51">
        <v>98</v>
      </c>
      <c r="B122" s="216" t="s">
        <v>176</v>
      </c>
      <c r="C122" s="217" t="s">
        <v>53</v>
      </c>
      <c r="D122" s="64" t="s">
        <v>50</v>
      </c>
      <c r="E122" s="51" t="s">
        <v>127</v>
      </c>
      <c r="F122" s="411">
        <v>10</v>
      </c>
      <c r="G122" s="214">
        <v>4.8099999999999996</v>
      </c>
      <c r="H122" s="66">
        <v>17697</v>
      </c>
      <c r="I122" s="200">
        <v>2</v>
      </c>
      <c r="J122" s="66">
        <f t="shared" si="18"/>
        <v>170245.13999999998</v>
      </c>
      <c r="K122" s="200">
        <f t="shared" si="74"/>
        <v>1.0625</v>
      </c>
      <c r="L122" s="200">
        <f t="shared" si="39"/>
        <v>17</v>
      </c>
      <c r="M122" s="210">
        <v>17</v>
      </c>
      <c r="N122" s="66">
        <f t="shared" si="27"/>
        <v>180885.46124999999</v>
      </c>
      <c r="O122" s="210"/>
      <c r="P122" s="66">
        <f t="shared" si="40"/>
        <v>0</v>
      </c>
      <c r="Q122" s="210"/>
      <c r="R122" s="66">
        <f t="shared" si="28"/>
        <v>0</v>
      </c>
      <c r="S122" s="201">
        <f t="shared" si="58"/>
        <v>45221.365312499998</v>
      </c>
      <c r="T122" s="66">
        <f t="shared" si="59"/>
        <v>226106.82656249998</v>
      </c>
      <c r="U122" s="66">
        <f t="shared" si="41"/>
        <v>22610.682656249999</v>
      </c>
      <c r="V122" s="66">
        <f t="shared" si="60"/>
        <v>45221.365312499998</v>
      </c>
      <c r="W122" s="210">
        <v>1</v>
      </c>
      <c r="X122" s="66">
        <f t="shared" si="65"/>
        <v>8848.5</v>
      </c>
      <c r="Y122" s="211"/>
      <c r="Z122" s="66">
        <f t="shared" si="66"/>
        <v>0</v>
      </c>
      <c r="AA122" s="210">
        <v>16</v>
      </c>
      <c r="AB122" s="66">
        <f t="shared" si="67"/>
        <v>7078.8</v>
      </c>
      <c r="AC122" s="211"/>
      <c r="AD122" s="66">
        <f t="shared" si="68"/>
        <v>0</v>
      </c>
      <c r="AE122" s="212"/>
      <c r="AF122" s="212"/>
      <c r="AG122" s="66">
        <f t="shared" si="69"/>
        <v>67832.04796874999</v>
      </c>
      <c r="AH122" s="66"/>
      <c r="AI122" s="66">
        <f t="shared" si="70"/>
        <v>0</v>
      </c>
      <c r="AJ122" s="210"/>
      <c r="AK122" s="66">
        <f t="shared" si="71"/>
        <v>0</v>
      </c>
      <c r="AL122" s="210"/>
      <c r="AM122" s="213">
        <f t="shared" si="64"/>
        <v>67832.04796874999</v>
      </c>
      <c r="AN122" s="210"/>
      <c r="AO122" s="210"/>
      <c r="AP122" s="210"/>
      <c r="AQ122" s="66">
        <f t="shared" si="72"/>
        <v>445547.27046874998</v>
      </c>
      <c r="AR122" s="66">
        <f t="shared" si="73"/>
        <v>5346.5672456249995</v>
      </c>
    </row>
    <row r="123" spans="1:44" s="215" customFormat="1" ht="15" customHeight="1">
      <c r="A123" s="51">
        <v>99</v>
      </c>
      <c r="B123" s="435" t="s">
        <v>564</v>
      </c>
      <c r="C123" s="217" t="s">
        <v>60</v>
      </c>
      <c r="D123" s="64" t="s">
        <v>50</v>
      </c>
      <c r="E123" s="51" t="s">
        <v>127</v>
      </c>
      <c r="F123" s="412">
        <v>5</v>
      </c>
      <c r="G123" s="214">
        <v>4.66</v>
      </c>
      <c r="H123" s="66">
        <v>17697</v>
      </c>
      <c r="I123" s="200">
        <v>2</v>
      </c>
      <c r="J123" s="66">
        <f t="shared" si="18"/>
        <v>164936.04</v>
      </c>
      <c r="K123" s="200">
        <f t="shared" si="74"/>
        <v>0.875</v>
      </c>
      <c r="L123" s="200">
        <f t="shared" si="39"/>
        <v>14</v>
      </c>
      <c r="M123" s="210">
        <v>2</v>
      </c>
      <c r="N123" s="66">
        <f t="shared" si="27"/>
        <v>20617.005000000001</v>
      </c>
      <c r="O123" s="210">
        <v>12</v>
      </c>
      <c r="P123" s="66">
        <f t="shared" si="40"/>
        <v>123702.03</v>
      </c>
      <c r="Q123" s="210"/>
      <c r="R123" s="66">
        <f t="shared" si="28"/>
        <v>0</v>
      </c>
      <c r="S123" s="201">
        <f t="shared" si="58"/>
        <v>36079.758750000001</v>
      </c>
      <c r="T123" s="66">
        <f t="shared" si="59"/>
        <v>180398.79375000001</v>
      </c>
      <c r="U123" s="66">
        <f t="shared" si="41"/>
        <v>18039.879375</v>
      </c>
      <c r="V123" s="66">
        <f t="shared" si="60"/>
        <v>36079.758750000001</v>
      </c>
      <c r="W123" s="210"/>
      <c r="X123" s="66">
        <f t="shared" si="65"/>
        <v>0</v>
      </c>
      <c r="Y123" s="211"/>
      <c r="Z123" s="66">
        <f t="shared" si="66"/>
        <v>0</v>
      </c>
      <c r="AA123" s="210"/>
      <c r="AB123" s="66">
        <f t="shared" si="67"/>
        <v>0</v>
      </c>
      <c r="AC123" s="211">
        <v>14</v>
      </c>
      <c r="AD123" s="66">
        <f t="shared" si="68"/>
        <v>6193.95</v>
      </c>
      <c r="AE123" s="212">
        <v>34500</v>
      </c>
      <c r="AF123" s="212"/>
      <c r="AG123" s="66">
        <f t="shared" si="69"/>
        <v>54119.638125000005</v>
      </c>
      <c r="AH123" s="66"/>
      <c r="AI123" s="66">
        <f t="shared" si="70"/>
        <v>0</v>
      </c>
      <c r="AJ123" s="210"/>
      <c r="AK123" s="66">
        <f t="shared" si="71"/>
        <v>0</v>
      </c>
      <c r="AL123" s="210"/>
      <c r="AM123" s="213">
        <f t="shared" si="64"/>
        <v>54119.638125000005</v>
      </c>
      <c r="AN123" s="210"/>
      <c r="AO123" s="210"/>
      <c r="AP123" s="210"/>
      <c r="AQ123" s="66">
        <f t="shared" si="72"/>
        <v>383465.65812500002</v>
      </c>
      <c r="AR123" s="66">
        <f t="shared" si="73"/>
        <v>4601.5878974999996</v>
      </c>
    </row>
    <row r="124" spans="1:44" s="215" customFormat="1" ht="15" customHeight="1">
      <c r="A124" s="51">
        <v>100</v>
      </c>
      <c r="B124" s="216" t="s">
        <v>152</v>
      </c>
      <c r="C124" s="217" t="s">
        <v>55</v>
      </c>
      <c r="D124" s="64" t="s">
        <v>50</v>
      </c>
      <c r="E124" s="51" t="s">
        <v>127</v>
      </c>
      <c r="F124" s="411">
        <v>5</v>
      </c>
      <c r="G124" s="214">
        <v>4.66</v>
      </c>
      <c r="H124" s="66">
        <v>17697</v>
      </c>
      <c r="I124" s="200">
        <v>2</v>
      </c>
      <c r="J124" s="66">
        <f t="shared" si="18"/>
        <v>164936.04</v>
      </c>
      <c r="K124" s="200">
        <f t="shared" si="74"/>
        <v>1.4375</v>
      </c>
      <c r="L124" s="200">
        <f t="shared" si="39"/>
        <v>23</v>
      </c>
      <c r="M124" s="210"/>
      <c r="N124" s="66">
        <f t="shared" si="27"/>
        <v>0</v>
      </c>
      <c r="O124" s="210">
        <v>15</v>
      </c>
      <c r="P124" s="66">
        <f t="shared" si="40"/>
        <v>154627.53750000001</v>
      </c>
      <c r="Q124" s="210">
        <v>8</v>
      </c>
      <c r="R124" s="66">
        <f t="shared" si="28"/>
        <v>82468.02</v>
      </c>
      <c r="S124" s="201">
        <f t="shared" si="58"/>
        <v>59273.889374999999</v>
      </c>
      <c r="T124" s="66">
        <f t="shared" si="59"/>
        <v>296369.44687500002</v>
      </c>
      <c r="U124" s="66">
        <f t="shared" si="41"/>
        <v>29636.944687500003</v>
      </c>
      <c r="V124" s="66">
        <f t="shared" si="60"/>
        <v>59273.889375000006</v>
      </c>
      <c r="W124" s="210"/>
      <c r="X124" s="66">
        <f t="shared" si="65"/>
        <v>0</v>
      </c>
      <c r="Y124" s="211">
        <v>1</v>
      </c>
      <c r="Z124" s="66">
        <f t="shared" si="66"/>
        <v>10618.199999999999</v>
      </c>
      <c r="AA124" s="210"/>
      <c r="AB124" s="66">
        <f t="shared" si="67"/>
        <v>0</v>
      </c>
      <c r="AC124" s="211">
        <v>23</v>
      </c>
      <c r="AD124" s="66">
        <f t="shared" si="68"/>
        <v>10175.775</v>
      </c>
      <c r="AE124" s="212"/>
      <c r="AF124" s="212"/>
      <c r="AG124" s="66">
        <f t="shared" si="69"/>
        <v>88910.834062499998</v>
      </c>
      <c r="AH124" s="66"/>
      <c r="AI124" s="66">
        <f t="shared" si="70"/>
        <v>0</v>
      </c>
      <c r="AJ124" s="210"/>
      <c r="AK124" s="66">
        <f t="shared" si="71"/>
        <v>0</v>
      </c>
      <c r="AL124" s="210"/>
      <c r="AM124" s="213">
        <f t="shared" si="64"/>
        <v>88910.834062499998</v>
      </c>
      <c r="AN124" s="210"/>
      <c r="AO124" s="210"/>
      <c r="AP124" s="210"/>
      <c r="AQ124" s="66">
        <f t="shared" si="72"/>
        <v>583919.92406250013</v>
      </c>
      <c r="AR124" s="66">
        <f t="shared" si="73"/>
        <v>7007.0390887500007</v>
      </c>
    </row>
    <row r="125" spans="1:44" s="215" customFormat="1" ht="15" customHeight="1">
      <c r="A125" s="51">
        <v>101</v>
      </c>
      <c r="B125" s="216" t="s">
        <v>458</v>
      </c>
      <c r="C125" s="217" t="s">
        <v>94</v>
      </c>
      <c r="D125" s="64" t="s">
        <v>50</v>
      </c>
      <c r="E125" s="51" t="s">
        <v>127</v>
      </c>
      <c r="F125" s="411">
        <v>9.08</v>
      </c>
      <c r="G125" s="214">
        <v>4.74</v>
      </c>
      <c r="H125" s="66">
        <v>17697</v>
      </c>
      <c r="I125" s="200">
        <v>2</v>
      </c>
      <c r="J125" s="66">
        <f t="shared" si="18"/>
        <v>167767.56</v>
      </c>
      <c r="K125" s="200">
        <f t="shared" si="74"/>
        <v>1</v>
      </c>
      <c r="L125" s="200">
        <f t="shared" si="39"/>
        <v>16</v>
      </c>
      <c r="M125" s="210"/>
      <c r="N125" s="66">
        <f t="shared" si="27"/>
        <v>0</v>
      </c>
      <c r="O125" s="210">
        <v>14</v>
      </c>
      <c r="P125" s="66">
        <f t="shared" si="40"/>
        <v>146796.61499999999</v>
      </c>
      <c r="Q125" s="210">
        <v>2</v>
      </c>
      <c r="R125" s="66">
        <f t="shared" si="28"/>
        <v>20970.945</v>
      </c>
      <c r="S125" s="201">
        <f t="shared" si="58"/>
        <v>41941.89</v>
      </c>
      <c r="T125" s="66">
        <f t="shared" si="59"/>
        <v>209709.45</v>
      </c>
      <c r="U125" s="66">
        <f t="shared" si="41"/>
        <v>20970.945000000003</v>
      </c>
      <c r="V125" s="66">
        <f t="shared" si="60"/>
        <v>41941.890000000007</v>
      </c>
      <c r="W125" s="210"/>
      <c r="X125" s="66">
        <f t="shared" si="65"/>
        <v>0</v>
      </c>
      <c r="Y125" s="211"/>
      <c r="Z125" s="66">
        <f t="shared" si="66"/>
        <v>0</v>
      </c>
      <c r="AA125" s="210"/>
      <c r="AB125" s="66">
        <f t="shared" si="67"/>
        <v>0</v>
      </c>
      <c r="AC125" s="211"/>
      <c r="AD125" s="66">
        <f t="shared" si="68"/>
        <v>0</v>
      </c>
      <c r="AE125" s="212"/>
      <c r="AF125" s="212"/>
      <c r="AG125" s="66">
        <f t="shared" si="69"/>
        <v>62912.834999999999</v>
      </c>
      <c r="AH125" s="66"/>
      <c r="AI125" s="66">
        <f t="shared" si="70"/>
        <v>0</v>
      </c>
      <c r="AJ125" s="210">
        <v>2</v>
      </c>
      <c r="AK125" s="66">
        <f t="shared" si="71"/>
        <v>884.85</v>
      </c>
      <c r="AL125" s="210"/>
      <c r="AM125" s="213">
        <f t="shared" si="64"/>
        <v>62912.834999999999</v>
      </c>
      <c r="AN125" s="210"/>
      <c r="AO125" s="210"/>
      <c r="AP125" s="210"/>
      <c r="AQ125" s="66">
        <f t="shared" si="72"/>
        <v>399334.80500000005</v>
      </c>
      <c r="AR125" s="66">
        <f t="shared" si="73"/>
        <v>4792.0176600000004</v>
      </c>
    </row>
    <row r="126" spans="1:44" s="215" customFormat="1" ht="15" customHeight="1">
      <c r="A126" s="51">
        <v>102</v>
      </c>
      <c r="B126" s="216" t="s">
        <v>167</v>
      </c>
      <c r="C126" s="217" t="s">
        <v>98</v>
      </c>
      <c r="D126" s="64" t="s">
        <v>50</v>
      </c>
      <c r="E126" s="51" t="s">
        <v>127</v>
      </c>
      <c r="F126" s="411">
        <v>3.07</v>
      </c>
      <c r="G126" s="214">
        <v>4.59</v>
      </c>
      <c r="H126" s="66">
        <v>17697</v>
      </c>
      <c r="I126" s="200">
        <v>2</v>
      </c>
      <c r="J126" s="66">
        <f t="shared" si="18"/>
        <v>162458.46</v>
      </c>
      <c r="K126" s="200">
        <f t="shared" si="74"/>
        <v>0.75</v>
      </c>
      <c r="L126" s="200">
        <f t="shared" si="39"/>
        <v>12</v>
      </c>
      <c r="M126" s="210">
        <v>12</v>
      </c>
      <c r="N126" s="66">
        <f t="shared" si="27"/>
        <v>121843.845</v>
      </c>
      <c r="O126" s="210"/>
      <c r="P126" s="66">
        <f t="shared" si="40"/>
        <v>0</v>
      </c>
      <c r="Q126" s="210"/>
      <c r="R126" s="66">
        <f t="shared" si="28"/>
        <v>0</v>
      </c>
      <c r="S126" s="201">
        <f t="shared" si="58"/>
        <v>30460.96125</v>
      </c>
      <c r="T126" s="66">
        <f t="shared" si="59"/>
        <v>152304.80624999999</v>
      </c>
      <c r="U126" s="66">
        <f t="shared" si="41"/>
        <v>15230.480625</v>
      </c>
      <c r="V126" s="66">
        <f t="shared" si="60"/>
        <v>30460.96125</v>
      </c>
      <c r="W126" s="210"/>
      <c r="X126" s="66">
        <f t="shared" si="65"/>
        <v>0</v>
      </c>
      <c r="Y126" s="211">
        <v>1</v>
      </c>
      <c r="Z126" s="66">
        <f t="shared" si="66"/>
        <v>10618.199999999999</v>
      </c>
      <c r="AA126" s="210"/>
      <c r="AB126" s="66">
        <f t="shared" si="67"/>
        <v>0</v>
      </c>
      <c r="AC126" s="211"/>
      <c r="AD126" s="66">
        <f t="shared" si="68"/>
        <v>0</v>
      </c>
      <c r="AE126" s="212"/>
      <c r="AF126" s="212"/>
      <c r="AG126" s="66">
        <f t="shared" si="69"/>
        <v>45691.441874999997</v>
      </c>
      <c r="AH126" s="66"/>
      <c r="AI126" s="66">
        <f t="shared" si="70"/>
        <v>0</v>
      </c>
      <c r="AJ126" s="210"/>
      <c r="AK126" s="66">
        <f t="shared" si="71"/>
        <v>0</v>
      </c>
      <c r="AL126" s="210"/>
      <c r="AM126" s="213">
        <f t="shared" si="64"/>
        <v>45691.441874999997</v>
      </c>
      <c r="AN126" s="210"/>
      <c r="AO126" s="210"/>
      <c r="AP126" s="210"/>
      <c r="AQ126" s="66">
        <f t="shared" si="72"/>
        <v>299998.33187499997</v>
      </c>
      <c r="AR126" s="66">
        <f t="shared" si="73"/>
        <v>3599.9799825</v>
      </c>
    </row>
    <row r="127" spans="1:44" s="215" customFormat="1" ht="15" customHeight="1">
      <c r="A127" s="51">
        <v>103</v>
      </c>
      <c r="B127" s="62" t="s">
        <v>221</v>
      </c>
      <c r="C127" s="217" t="s">
        <v>53</v>
      </c>
      <c r="D127" s="64" t="s">
        <v>50</v>
      </c>
      <c r="E127" s="51" t="s">
        <v>127</v>
      </c>
      <c r="F127" s="411">
        <v>6.08</v>
      </c>
      <c r="G127" s="214">
        <v>4.66</v>
      </c>
      <c r="H127" s="66">
        <v>17697</v>
      </c>
      <c r="I127" s="200">
        <v>2</v>
      </c>
      <c r="J127" s="66">
        <f t="shared" si="18"/>
        <v>164936.04</v>
      </c>
      <c r="K127" s="200">
        <f t="shared" si="74"/>
        <v>0.125</v>
      </c>
      <c r="L127" s="200">
        <f t="shared" si="39"/>
        <v>2</v>
      </c>
      <c r="M127" s="210">
        <v>2</v>
      </c>
      <c r="N127" s="66">
        <f t="shared" si="27"/>
        <v>20617.005000000001</v>
      </c>
      <c r="O127" s="210"/>
      <c r="P127" s="66">
        <f t="shared" si="40"/>
        <v>0</v>
      </c>
      <c r="Q127" s="210"/>
      <c r="R127" s="66">
        <f t="shared" si="28"/>
        <v>0</v>
      </c>
      <c r="S127" s="201">
        <f t="shared" si="58"/>
        <v>5154.2512500000003</v>
      </c>
      <c r="T127" s="66">
        <f t="shared" si="59"/>
        <v>25771.256250000002</v>
      </c>
      <c r="U127" s="66">
        <f t="shared" si="41"/>
        <v>2577.1256250000006</v>
      </c>
      <c r="V127" s="66">
        <f t="shared" si="60"/>
        <v>5154.2512500000012</v>
      </c>
      <c r="W127" s="210"/>
      <c r="X127" s="66">
        <f t="shared" si="65"/>
        <v>0</v>
      </c>
      <c r="Y127" s="211"/>
      <c r="Z127" s="66">
        <f t="shared" si="66"/>
        <v>0</v>
      </c>
      <c r="AA127" s="210"/>
      <c r="AB127" s="66">
        <f t="shared" si="67"/>
        <v>0</v>
      </c>
      <c r="AC127" s="211"/>
      <c r="AD127" s="66">
        <f t="shared" si="68"/>
        <v>0</v>
      </c>
      <c r="AE127" s="212"/>
      <c r="AF127" s="212"/>
      <c r="AG127" s="66">
        <f t="shared" si="69"/>
        <v>7731.3768749999999</v>
      </c>
      <c r="AH127" s="66"/>
      <c r="AI127" s="66">
        <f t="shared" si="70"/>
        <v>0</v>
      </c>
      <c r="AJ127" s="210"/>
      <c r="AK127" s="66">
        <f t="shared" si="71"/>
        <v>0</v>
      </c>
      <c r="AL127" s="210"/>
      <c r="AM127" s="213">
        <f t="shared" si="64"/>
        <v>7731.3768749999999</v>
      </c>
      <c r="AN127" s="210"/>
      <c r="AO127" s="210"/>
      <c r="AP127" s="210"/>
      <c r="AQ127" s="66">
        <f t="shared" si="72"/>
        <v>48965.386875000011</v>
      </c>
      <c r="AR127" s="66">
        <f t="shared" si="73"/>
        <v>587.58464250000009</v>
      </c>
    </row>
    <row r="128" spans="1:44" s="215" customFormat="1" ht="15" customHeight="1">
      <c r="A128" s="51">
        <v>104</v>
      </c>
      <c r="B128" s="216" t="s">
        <v>170</v>
      </c>
      <c r="C128" s="217" t="s">
        <v>60</v>
      </c>
      <c r="D128" s="64" t="s">
        <v>50</v>
      </c>
      <c r="E128" s="51" t="s">
        <v>127</v>
      </c>
      <c r="F128" s="411">
        <v>2.11</v>
      </c>
      <c r="G128" s="214">
        <v>4.51</v>
      </c>
      <c r="H128" s="66">
        <v>17697</v>
      </c>
      <c r="I128" s="200">
        <v>2</v>
      </c>
      <c r="J128" s="66">
        <f t="shared" si="18"/>
        <v>159626.94</v>
      </c>
      <c r="K128" s="200">
        <f t="shared" si="74"/>
        <v>1.0625</v>
      </c>
      <c r="L128" s="200">
        <f t="shared" si="39"/>
        <v>17</v>
      </c>
      <c r="M128" s="210">
        <v>2</v>
      </c>
      <c r="N128" s="66">
        <f t="shared" si="27"/>
        <v>19953.3675</v>
      </c>
      <c r="O128" s="210">
        <v>15</v>
      </c>
      <c r="P128" s="66">
        <f t="shared" si="40"/>
        <v>149650.25625000001</v>
      </c>
      <c r="Q128" s="210"/>
      <c r="R128" s="66">
        <f t="shared" si="28"/>
        <v>0</v>
      </c>
      <c r="S128" s="201">
        <f t="shared" si="58"/>
        <v>42400.9059375</v>
      </c>
      <c r="T128" s="66">
        <f t="shared" si="59"/>
        <v>212004.52968750001</v>
      </c>
      <c r="U128" s="66">
        <f t="shared" si="41"/>
        <v>21200.452968750003</v>
      </c>
      <c r="V128" s="66">
        <f t="shared" si="60"/>
        <v>42400.905937500007</v>
      </c>
      <c r="W128" s="210"/>
      <c r="X128" s="66">
        <f t="shared" si="65"/>
        <v>0</v>
      </c>
      <c r="Y128" s="211"/>
      <c r="Z128" s="66">
        <f t="shared" si="66"/>
        <v>0</v>
      </c>
      <c r="AA128" s="210">
        <v>17</v>
      </c>
      <c r="AB128" s="66">
        <f t="shared" si="67"/>
        <v>7521.2250000000004</v>
      </c>
      <c r="AC128" s="211"/>
      <c r="AD128" s="66">
        <f t="shared" si="68"/>
        <v>0</v>
      </c>
      <c r="AE128" s="212"/>
      <c r="AF128" s="212"/>
      <c r="AG128" s="66">
        <f t="shared" si="69"/>
        <v>63601.358906249996</v>
      </c>
      <c r="AH128" s="66"/>
      <c r="AI128" s="66">
        <f t="shared" si="70"/>
        <v>0</v>
      </c>
      <c r="AJ128" s="210"/>
      <c r="AK128" s="66">
        <f t="shared" si="71"/>
        <v>0</v>
      </c>
      <c r="AL128" s="210"/>
      <c r="AM128" s="213">
        <f t="shared" si="64"/>
        <v>63601.358906249996</v>
      </c>
      <c r="AN128" s="210"/>
      <c r="AO128" s="210"/>
      <c r="AP128" s="210"/>
      <c r="AQ128" s="66">
        <f t="shared" si="72"/>
        <v>410346.83140624996</v>
      </c>
      <c r="AR128" s="66">
        <f t="shared" si="73"/>
        <v>4924.1619768749997</v>
      </c>
    </row>
    <row r="129" spans="1:44" s="215" customFormat="1" ht="15" customHeight="1">
      <c r="A129" s="51">
        <v>105</v>
      </c>
      <c r="B129" s="62" t="s">
        <v>108</v>
      </c>
      <c r="C129" s="63" t="s">
        <v>109</v>
      </c>
      <c r="D129" s="64" t="s">
        <v>50</v>
      </c>
      <c r="E129" s="51" t="s">
        <v>127</v>
      </c>
      <c r="F129" s="411">
        <v>24.01</v>
      </c>
      <c r="G129" s="214">
        <v>5.08</v>
      </c>
      <c r="H129" s="66">
        <v>17697</v>
      </c>
      <c r="I129" s="200">
        <v>2</v>
      </c>
      <c r="J129" s="66">
        <f t="shared" si="18"/>
        <v>179801.52</v>
      </c>
      <c r="K129" s="200">
        <f t="shared" si="74"/>
        <v>0.5</v>
      </c>
      <c r="L129" s="200">
        <f t="shared" si="39"/>
        <v>8</v>
      </c>
      <c r="M129" s="210"/>
      <c r="N129" s="66">
        <f t="shared" si="27"/>
        <v>0</v>
      </c>
      <c r="O129" s="210"/>
      <c r="P129" s="66">
        <f t="shared" si="40"/>
        <v>0</v>
      </c>
      <c r="Q129" s="210">
        <v>8</v>
      </c>
      <c r="R129" s="66">
        <f t="shared" si="28"/>
        <v>89900.76</v>
      </c>
      <c r="S129" s="201">
        <f t="shared" si="58"/>
        <v>22475.19</v>
      </c>
      <c r="T129" s="66">
        <f t="shared" si="59"/>
        <v>112375.95</v>
      </c>
      <c r="U129" s="66">
        <f t="shared" si="41"/>
        <v>11237.595000000001</v>
      </c>
      <c r="V129" s="66">
        <f t="shared" si="60"/>
        <v>22475.190000000002</v>
      </c>
      <c r="W129" s="210"/>
      <c r="X129" s="66">
        <f t="shared" si="65"/>
        <v>0</v>
      </c>
      <c r="Y129" s="211"/>
      <c r="Z129" s="66">
        <f t="shared" si="66"/>
        <v>0</v>
      </c>
      <c r="AA129" s="210"/>
      <c r="AB129" s="66">
        <f t="shared" si="67"/>
        <v>0</v>
      </c>
      <c r="AC129" s="211"/>
      <c r="AD129" s="66">
        <f t="shared" si="68"/>
        <v>0</v>
      </c>
      <c r="AE129" s="212"/>
      <c r="AF129" s="212"/>
      <c r="AG129" s="66">
        <f t="shared" si="69"/>
        <v>33712.784999999996</v>
      </c>
      <c r="AH129" s="66"/>
      <c r="AI129" s="66">
        <f t="shared" si="70"/>
        <v>0</v>
      </c>
      <c r="AJ129" s="210"/>
      <c r="AK129" s="66">
        <f t="shared" si="71"/>
        <v>0</v>
      </c>
      <c r="AL129" s="210"/>
      <c r="AM129" s="213">
        <f t="shared" si="64"/>
        <v>33712.784999999996</v>
      </c>
      <c r="AN129" s="210"/>
      <c r="AO129" s="210"/>
      <c r="AP129" s="210"/>
      <c r="AQ129" s="66">
        <f t="shared" si="72"/>
        <v>213514.30499999999</v>
      </c>
      <c r="AR129" s="66">
        <f t="shared" si="73"/>
        <v>2562.17166</v>
      </c>
    </row>
    <row r="130" spans="1:44" s="76" customFormat="1" ht="15" customHeight="1">
      <c r="A130" s="259"/>
      <c r="B130" s="70" t="s">
        <v>127</v>
      </c>
      <c r="C130" s="70"/>
      <c r="D130" s="70"/>
      <c r="E130" s="70"/>
      <c r="F130" s="71"/>
      <c r="G130" s="72"/>
      <c r="H130" s="73"/>
      <c r="I130" s="74"/>
      <c r="J130" s="75">
        <f>SUM(J101:J129)</f>
        <v>4890035.04</v>
      </c>
      <c r="K130" s="75">
        <f t="shared" ref="K130:AR130" si="75">SUM(K101:K129)</f>
        <v>24.5</v>
      </c>
      <c r="L130" s="75">
        <f t="shared" si="75"/>
        <v>444</v>
      </c>
      <c r="M130" s="75">
        <f t="shared" si="75"/>
        <v>186</v>
      </c>
      <c r="N130" s="75">
        <f t="shared" si="75"/>
        <v>1966557.0037499995</v>
      </c>
      <c r="O130" s="75">
        <f t="shared" si="75"/>
        <v>217</v>
      </c>
      <c r="P130" s="75">
        <f t="shared" si="75"/>
        <v>2279550.5700000003</v>
      </c>
      <c r="Q130" s="75">
        <f t="shared" si="75"/>
        <v>41</v>
      </c>
      <c r="R130" s="75">
        <f t="shared" si="75"/>
        <v>438774.99375000002</v>
      </c>
      <c r="S130" s="75">
        <f t="shared" si="75"/>
        <v>1171220.641875</v>
      </c>
      <c r="T130" s="75">
        <f t="shared" si="75"/>
        <v>5856103.2093750006</v>
      </c>
      <c r="U130" s="75">
        <f t="shared" si="75"/>
        <v>585610.3209375001</v>
      </c>
      <c r="V130" s="75">
        <f t="shared" si="75"/>
        <v>1171220.6418750002</v>
      </c>
      <c r="W130" s="75">
        <f t="shared" si="75"/>
        <v>6</v>
      </c>
      <c r="X130" s="75">
        <f t="shared" si="75"/>
        <v>53091</v>
      </c>
      <c r="Y130" s="75">
        <f t="shared" si="75"/>
        <v>11</v>
      </c>
      <c r="Z130" s="75">
        <f t="shared" si="75"/>
        <v>116800.19999999998</v>
      </c>
      <c r="AA130" s="75">
        <f t="shared" si="75"/>
        <v>257</v>
      </c>
      <c r="AB130" s="75">
        <f t="shared" si="75"/>
        <v>113703.22500000002</v>
      </c>
      <c r="AC130" s="75">
        <f t="shared" si="75"/>
        <v>58</v>
      </c>
      <c r="AD130" s="75">
        <f t="shared" si="75"/>
        <v>25660.65</v>
      </c>
      <c r="AE130" s="75">
        <f t="shared" si="75"/>
        <v>172500</v>
      </c>
      <c r="AF130" s="75">
        <f t="shared" si="75"/>
        <v>0</v>
      </c>
      <c r="AG130" s="75">
        <f t="shared" si="75"/>
        <v>1756830.9628124998</v>
      </c>
      <c r="AH130" s="75">
        <f t="shared" si="75"/>
        <v>45</v>
      </c>
      <c r="AI130" s="75">
        <f t="shared" si="75"/>
        <v>9954.5625</v>
      </c>
      <c r="AJ130" s="75">
        <f t="shared" si="75"/>
        <v>2</v>
      </c>
      <c r="AK130" s="75">
        <f t="shared" si="75"/>
        <v>884.85</v>
      </c>
      <c r="AL130" s="75">
        <f t="shared" si="75"/>
        <v>3539</v>
      </c>
      <c r="AM130" s="75">
        <f t="shared" si="75"/>
        <v>1756830.9628124998</v>
      </c>
      <c r="AN130" s="75">
        <f t="shared" si="75"/>
        <v>0</v>
      </c>
      <c r="AO130" s="75">
        <f t="shared" si="75"/>
        <v>0</v>
      </c>
      <c r="AP130" s="75">
        <f t="shared" si="75"/>
        <v>0</v>
      </c>
      <c r="AQ130" s="75">
        <f t="shared" si="75"/>
        <v>11623108.585312499</v>
      </c>
      <c r="AR130" s="75">
        <f t="shared" si="75"/>
        <v>139477.30302374999</v>
      </c>
    </row>
    <row r="131" spans="1:44" s="215" customFormat="1" ht="15" customHeight="1">
      <c r="A131" s="51">
        <v>106</v>
      </c>
      <c r="B131" s="216" t="s">
        <v>472</v>
      </c>
      <c r="C131" s="217" t="s">
        <v>98</v>
      </c>
      <c r="D131" s="64" t="s">
        <v>50</v>
      </c>
      <c r="E131" s="51" t="s">
        <v>146</v>
      </c>
      <c r="F131" s="408" t="s">
        <v>544</v>
      </c>
      <c r="G131" s="214">
        <v>4.59</v>
      </c>
      <c r="H131" s="66">
        <v>17697</v>
      </c>
      <c r="I131" s="200">
        <v>2</v>
      </c>
      <c r="J131" s="66">
        <f t="shared" si="18"/>
        <v>162458.46</v>
      </c>
      <c r="K131" s="200">
        <f>(M131+O131+Q131)/16</f>
        <v>0.875</v>
      </c>
      <c r="L131" s="200">
        <f t="shared" si="39"/>
        <v>14</v>
      </c>
      <c r="M131" s="210"/>
      <c r="N131" s="66">
        <f t="shared" si="27"/>
        <v>0</v>
      </c>
      <c r="O131" s="210"/>
      <c r="P131" s="66">
        <f t="shared" si="40"/>
        <v>0</v>
      </c>
      <c r="Q131" s="210">
        <v>14</v>
      </c>
      <c r="R131" s="66">
        <f t="shared" si="28"/>
        <v>142151.1525</v>
      </c>
      <c r="S131" s="201">
        <f t="shared" ref="S131" si="76">(N131+P131+R131)*25%</f>
        <v>35537.788124999999</v>
      </c>
      <c r="T131" s="66">
        <f t="shared" ref="T131" si="77">N131+P131+R131+S131</f>
        <v>177688.94062499999</v>
      </c>
      <c r="U131" s="66">
        <f t="shared" si="41"/>
        <v>17768.8940625</v>
      </c>
      <c r="V131" s="66">
        <f t="shared" ref="V131" si="78">T131*20%</f>
        <v>35537.788124999999</v>
      </c>
      <c r="W131" s="210"/>
      <c r="X131" s="66">
        <f t="shared" si="65"/>
        <v>0</v>
      </c>
      <c r="Y131" s="211"/>
      <c r="Z131" s="66">
        <f t="shared" si="66"/>
        <v>0</v>
      </c>
      <c r="AA131" s="210"/>
      <c r="AB131" s="66">
        <f t="shared" si="67"/>
        <v>0</v>
      </c>
      <c r="AC131" s="211"/>
      <c r="AD131" s="66">
        <f t="shared" si="68"/>
        <v>0</v>
      </c>
      <c r="AE131" s="212"/>
      <c r="AF131" s="212"/>
      <c r="AG131" s="66">
        <f t="shared" si="69"/>
        <v>53306.682187499995</v>
      </c>
      <c r="AH131" s="66"/>
      <c r="AI131" s="66">
        <f t="shared" si="70"/>
        <v>0</v>
      </c>
      <c r="AJ131" s="210"/>
      <c r="AK131" s="66">
        <f t="shared" si="71"/>
        <v>0</v>
      </c>
      <c r="AL131" s="210"/>
      <c r="AM131" s="213"/>
      <c r="AN131" s="210"/>
      <c r="AO131" s="210"/>
      <c r="AP131" s="210"/>
      <c r="AQ131" s="66">
        <f t="shared" ref="AQ131" si="79">SUM(T131:AP131)</f>
        <v>284302.30499999999</v>
      </c>
      <c r="AR131" s="66">
        <f t="shared" ref="AR131" si="80">AQ131*12/1000</f>
        <v>3411.6276600000001</v>
      </c>
    </row>
    <row r="132" spans="1:44" s="215" customFormat="1" ht="15" customHeight="1">
      <c r="A132" s="51">
        <v>107</v>
      </c>
      <c r="B132" s="62" t="s">
        <v>124</v>
      </c>
      <c r="C132" s="63" t="s">
        <v>98</v>
      </c>
      <c r="D132" s="64" t="s">
        <v>50</v>
      </c>
      <c r="E132" s="51" t="s">
        <v>146</v>
      </c>
      <c r="F132" s="261">
        <v>19</v>
      </c>
      <c r="G132" s="214">
        <v>4.59</v>
      </c>
      <c r="H132" s="66">
        <v>17697</v>
      </c>
      <c r="I132" s="200">
        <v>2</v>
      </c>
      <c r="J132" s="66">
        <f t="shared" si="18"/>
        <v>162458.46</v>
      </c>
      <c r="K132" s="200">
        <f>(M132+O132+Q132)/16</f>
        <v>0.9375</v>
      </c>
      <c r="L132" s="200">
        <f t="shared" si="39"/>
        <v>15</v>
      </c>
      <c r="M132" s="210"/>
      <c r="N132" s="66">
        <f t="shared" si="27"/>
        <v>0</v>
      </c>
      <c r="O132" s="210">
        <v>9</v>
      </c>
      <c r="P132" s="66">
        <f t="shared" si="40"/>
        <v>91382.883749999994</v>
      </c>
      <c r="Q132" s="210">
        <v>6</v>
      </c>
      <c r="R132" s="66">
        <f t="shared" ref="R132:R158" si="81">J132/16*Q132</f>
        <v>60921.922500000001</v>
      </c>
      <c r="S132" s="201">
        <f t="shared" ref="S132:S158" si="82">(N132+P132+R132)*25%</f>
        <v>38076.201562499999</v>
      </c>
      <c r="T132" s="66">
        <f t="shared" ref="T132:T158" si="83">N132+P132+R132+S132</f>
        <v>190381.0078125</v>
      </c>
      <c r="U132" s="66">
        <f t="shared" si="41"/>
        <v>19038.100781249999</v>
      </c>
      <c r="V132" s="66">
        <f t="shared" ref="V132:V158" si="84">T132*20%</f>
        <v>38076.201562499999</v>
      </c>
      <c r="W132" s="210"/>
      <c r="X132" s="66">
        <f t="shared" si="65"/>
        <v>0</v>
      </c>
      <c r="Y132" s="211"/>
      <c r="Z132" s="66">
        <f t="shared" si="66"/>
        <v>0</v>
      </c>
      <c r="AA132" s="210"/>
      <c r="AB132" s="66">
        <f t="shared" si="67"/>
        <v>0</v>
      </c>
      <c r="AC132" s="211"/>
      <c r="AD132" s="66">
        <f t="shared" si="68"/>
        <v>0</v>
      </c>
      <c r="AE132" s="212"/>
      <c r="AF132" s="212"/>
      <c r="AG132" s="66">
        <f t="shared" si="69"/>
        <v>57114.302343750001</v>
      </c>
      <c r="AH132" s="66"/>
      <c r="AI132" s="66">
        <f t="shared" si="70"/>
        <v>0</v>
      </c>
      <c r="AJ132" s="210"/>
      <c r="AK132" s="66">
        <f t="shared" si="71"/>
        <v>0</v>
      </c>
      <c r="AL132" s="210"/>
      <c r="AM132" s="213"/>
      <c r="AN132" s="210"/>
      <c r="AO132" s="210"/>
      <c r="AP132" s="210"/>
      <c r="AQ132" s="66">
        <f t="shared" ref="AQ132:AQ158" si="85">SUM(T132:AP132)</f>
        <v>304609.61249999999</v>
      </c>
      <c r="AR132" s="66">
        <f t="shared" ref="AR132:AR158" si="86">AQ132*12/1000</f>
        <v>3655.3153499999999</v>
      </c>
    </row>
    <row r="133" spans="1:44" s="215" customFormat="1" ht="15" customHeight="1">
      <c r="A133" s="51">
        <v>108</v>
      </c>
      <c r="B133" s="216" t="s">
        <v>155</v>
      </c>
      <c r="C133" s="217" t="s">
        <v>156</v>
      </c>
      <c r="D133" s="64" t="s">
        <v>50</v>
      </c>
      <c r="E133" s="51" t="s">
        <v>146</v>
      </c>
      <c r="F133" s="408" t="s">
        <v>550</v>
      </c>
      <c r="G133" s="214">
        <v>4.38</v>
      </c>
      <c r="H133" s="66">
        <v>17697</v>
      </c>
      <c r="I133" s="200">
        <v>2</v>
      </c>
      <c r="J133" s="66">
        <f t="shared" si="18"/>
        <v>155025.72</v>
      </c>
      <c r="K133" s="200">
        <f>(M133+O133+Q133)/16</f>
        <v>0.9375</v>
      </c>
      <c r="L133" s="200">
        <f t="shared" si="39"/>
        <v>15</v>
      </c>
      <c r="M133" s="210">
        <v>6</v>
      </c>
      <c r="N133" s="66">
        <f t="shared" si="27"/>
        <v>58134.645000000004</v>
      </c>
      <c r="O133" s="210">
        <v>5</v>
      </c>
      <c r="P133" s="66">
        <f t="shared" si="40"/>
        <v>48445.537499999999</v>
      </c>
      <c r="Q133" s="210">
        <v>4</v>
      </c>
      <c r="R133" s="66">
        <f t="shared" si="81"/>
        <v>38756.43</v>
      </c>
      <c r="S133" s="201">
        <f t="shared" si="82"/>
        <v>36334.153124999997</v>
      </c>
      <c r="T133" s="66">
        <f t="shared" si="83"/>
        <v>181670.765625</v>
      </c>
      <c r="U133" s="66">
        <f t="shared" si="41"/>
        <v>18167.076562500002</v>
      </c>
      <c r="V133" s="66">
        <f t="shared" si="84"/>
        <v>36334.153125000004</v>
      </c>
      <c r="W133" s="210"/>
      <c r="X133" s="66">
        <f t="shared" si="65"/>
        <v>0</v>
      </c>
      <c r="Y133" s="211">
        <v>1</v>
      </c>
      <c r="Z133" s="66">
        <f t="shared" si="66"/>
        <v>10618.199999999999</v>
      </c>
      <c r="AA133" s="210">
        <v>14</v>
      </c>
      <c r="AB133" s="66">
        <f t="shared" si="67"/>
        <v>6193.95</v>
      </c>
      <c r="AC133" s="211"/>
      <c r="AD133" s="66">
        <f t="shared" si="68"/>
        <v>0</v>
      </c>
      <c r="AE133" s="212"/>
      <c r="AF133" s="212"/>
      <c r="AG133" s="66">
        <f t="shared" si="69"/>
        <v>54501.229687499996</v>
      </c>
      <c r="AH133" s="66"/>
      <c r="AI133" s="66">
        <f t="shared" si="70"/>
        <v>0</v>
      </c>
      <c r="AJ133" s="210">
        <v>15</v>
      </c>
      <c r="AK133" s="66">
        <f t="shared" si="71"/>
        <v>6636.375</v>
      </c>
      <c r="AL133" s="210"/>
      <c r="AM133" s="213"/>
      <c r="AN133" s="210"/>
      <c r="AO133" s="210"/>
      <c r="AP133" s="210"/>
      <c r="AQ133" s="66">
        <f t="shared" si="85"/>
        <v>314151.75000000006</v>
      </c>
      <c r="AR133" s="66">
        <f t="shared" si="86"/>
        <v>3769.8210000000008</v>
      </c>
    </row>
    <row r="134" spans="1:44" s="215" customFormat="1" ht="15" customHeight="1">
      <c r="A134" s="51">
        <v>109</v>
      </c>
      <c r="B134" s="216" t="s">
        <v>145</v>
      </c>
      <c r="C134" s="217" t="s">
        <v>53</v>
      </c>
      <c r="D134" s="64" t="s">
        <v>50</v>
      </c>
      <c r="E134" s="51" t="s">
        <v>146</v>
      </c>
      <c r="F134" s="408" t="s">
        <v>551</v>
      </c>
      <c r="G134" s="214">
        <v>4.33</v>
      </c>
      <c r="H134" s="66">
        <v>17697</v>
      </c>
      <c r="I134" s="200">
        <v>2</v>
      </c>
      <c r="J134" s="66">
        <f t="shared" si="18"/>
        <v>153256.01999999999</v>
      </c>
      <c r="K134" s="200">
        <f t="shared" si="20"/>
        <v>1.0625</v>
      </c>
      <c r="L134" s="200">
        <f t="shared" si="39"/>
        <v>17</v>
      </c>
      <c r="M134" s="210">
        <v>17</v>
      </c>
      <c r="N134" s="66">
        <f t="shared" ref="N134:N158" si="87">J134/16*M134</f>
        <v>162834.52124999999</v>
      </c>
      <c r="O134" s="210"/>
      <c r="P134" s="66">
        <f t="shared" si="40"/>
        <v>0</v>
      </c>
      <c r="Q134" s="210"/>
      <c r="R134" s="66">
        <f t="shared" si="81"/>
        <v>0</v>
      </c>
      <c r="S134" s="201">
        <f t="shared" si="82"/>
        <v>40708.630312499998</v>
      </c>
      <c r="T134" s="66">
        <f t="shared" si="83"/>
        <v>203543.15156249999</v>
      </c>
      <c r="U134" s="66">
        <f t="shared" si="41"/>
        <v>20354.315156249999</v>
      </c>
      <c r="V134" s="66">
        <f t="shared" si="84"/>
        <v>40708.630312499998</v>
      </c>
      <c r="W134" s="210">
        <v>1</v>
      </c>
      <c r="X134" s="66">
        <f t="shared" si="65"/>
        <v>8848.5</v>
      </c>
      <c r="Y134" s="211"/>
      <c r="Z134" s="66">
        <f t="shared" si="66"/>
        <v>0</v>
      </c>
      <c r="AA134" s="210">
        <v>17</v>
      </c>
      <c r="AB134" s="66">
        <f t="shared" si="67"/>
        <v>7521.2250000000004</v>
      </c>
      <c r="AC134" s="211"/>
      <c r="AD134" s="66">
        <f t="shared" si="68"/>
        <v>0</v>
      </c>
      <c r="AE134" s="212"/>
      <c r="AF134" s="212"/>
      <c r="AG134" s="66">
        <f t="shared" si="69"/>
        <v>61062.945468749997</v>
      </c>
      <c r="AH134" s="66"/>
      <c r="AI134" s="66">
        <f t="shared" si="70"/>
        <v>0</v>
      </c>
      <c r="AJ134" s="210"/>
      <c r="AK134" s="66">
        <f t="shared" si="71"/>
        <v>0</v>
      </c>
      <c r="AL134" s="210"/>
      <c r="AM134" s="213"/>
      <c r="AN134" s="210"/>
      <c r="AO134" s="210"/>
      <c r="AP134" s="210"/>
      <c r="AQ134" s="66">
        <f t="shared" si="85"/>
        <v>342056.76749999996</v>
      </c>
      <c r="AR134" s="66">
        <f t="shared" si="86"/>
        <v>4104.6812099999997</v>
      </c>
    </row>
    <row r="135" spans="1:44" s="531" customFormat="1" ht="15" customHeight="1">
      <c r="A135" s="243">
        <v>110</v>
      </c>
      <c r="B135" s="522" t="s">
        <v>147</v>
      </c>
      <c r="C135" s="523" t="s">
        <v>87</v>
      </c>
      <c r="D135" s="106" t="s">
        <v>50</v>
      </c>
      <c r="E135" s="243" t="s">
        <v>146</v>
      </c>
      <c r="F135" s="524">
        <v>19.02</v>
      </c>
      <c r="G135" s="525">
        <v>4.59</v>
      </c>
      <c r="H135" s="526">
        <v>17697</v>
      </c>
      <c r="I135" s="192">
        <v>2</v>
      </c>
      <c r="J135" s="526">
        <f t="shared" ref="J135:J158" si="88">H135*G135*I135</f>
        <v>162458.46</v>
      </c>
      <c r="K135" s="192">
        <f t="shared" ref="K135:K153" si="89">(M135+O135+Q135)/16</f>
        <v>1.1875</v>
      </c>
      <c r="L135" s="192">
        <f t="shared" si="39"/>
        <v>19</v>
      </c>
      <c r="M135" s="527"/>
      <c r="N135" s="526">
        <f t="shared" si="87"/>
        <v>0</v>
      </c>
      <c r="O135" s="527">
        <v>13</v>
      </c>
      <c r="P135" s="526">
        <f t="shared" si="40"/>
        <v>131997.49875</v>
      </c>
      <c r="Q135" s="527">
        <v>6</v>
      </c>
      <c r="R135" s="526">
        <f t="shared" si="81"/>
        <v>60921.922500000001</v>
      </c>
      <c r="S135" s="528">
        <f t="shared" si="82"/>
        <v>48229.855312500003</v>
      </c>
      <c r="T135" s="526">
        <f t="shared" si="83"/>
        <v>241149.27656250002</v>
      </c>
      <c r="U135" s="526">
        <f t="shared" si="41"/>
        <v>24114.927656250002</v>
      </c>
      <c r="V135" s="526">
        <f t="shared" si="84"/>
        <v>48229.855312500003</v>
      </c>
      <c r="W135" s="527"/>
      <c r="X135" s="526">
        <f t="shared" si="65"/>
        <v>0</v>
      </c>
      <c r="Y135" s="529"/>
      <c r="Z135" s="526">
        <f t="shared" si="66"/>
        <v>0</v>
      </c>
      <c r="AA135" s="529"/>
      <c r="AB135" s="526">
        <f t="shared" si="67"/>
        <v>0</v>
      </c>
      <c r="AC135" s="529"/>
      <c r="AD135" s="526">
        <f t="shared" si="68"/>
        <v>0</v>
      </c>
      <c r="AE135" s="530"/>
      <c r="AF135" s="530"/>
      <c r="AG135" s="526">
        <f t="shared" si="69"/>
        <v>72344.782968750005</v>
      </c>
      <c r="AH135" s="526"/>
      <c r="AI135" s="526">
        <f t="shared" si="70"/>
        <v>0</v>
      </c>
      <c r="AJ135" s="527">
        <v>2</v>
      </c>
      <c r="AK135" s="526">
        <f t="shared" si="71"/>
        <v>884.85</v>
      </c>
      <c r="AL135" s="527"/>
      <c r="AM135" s="527"/>
      <c r="AN135" s="527"/>
      <c r="AO135" s="527"/>
      <c r="AP135" s="527"/>
      <c r="AQ135" s="526">
        <f t="shared" si="85"/>
        <v>386725.6925</v>
      </c>
      <c r="AR135" s="526">
        <f t="shared" si="86"/>
        <v>4640.7083100000009</v>
      </c>
    </row>
    <row r="136" spans="1:44" s="215" customFormat="1" ht="15" customHeight="1">
      <c r="A136" s="51">
        <v>111</v>
      </c>
      <c r="B136" s="216" t="s">
        <v>148</v>
      </c>
      <c r="C136" s="217" t="s">
        <v>65</v>
      </c>
      <c r="D136" s="64" t="s">
        <v>50</v>
      </c>
      <c r="E136" s="51" t="s">
        <v>146</v>
      </c>
      <c r="F136" s="408" t="s">
        <v>552</v>
      </c>
      <c r="G136" s="214">
        <v>4.38</v>
      </c>
      <c r="H136" s="66">
        <v>17697</v>
      </c>
      <c r="I136" s="200">
        <v>2</v>
      </c>
      <c r="J136" s="66">
        <f t="shared" si="88"/>
        <v>155025.72</v>
      </c>
      <c r="K136" s="200">
        <f t="shared" si="89"/>
        <v>1</v>
      </c>
      <c r="L136" s="200">
        <f>M136+O136+Q136</f>
        <v>16</v>
      </c>
      <c r="M136" s="210"/>
      <c r="N136" s="66">
        <f t="shared" si="87"/>
        <v>0</v>
      </c>
      <c r="O136" s="210">
        <v>15</v>
      </c>
      <c r="P136" s="66">
        <f t="shared" si="40"/>
        <v>145336.61249999999</v>
      </c>
      <c r="Q136" s="210">
        <v>1</v>
      </c>
      <c r="R136" s="66">
        <f t="shared" si="81"/>
        <v>9689.1075000000001</v>
      </c>
      <c r="S136" s="201">
        <f t="shared" si="82"/>
        <v>38756.43</v>
      </c>
      <c r="T136" s="66">
        <f t="shared" si="83"/>
        <v>193782.15</v>
      </c>
      <c r="U136" s="66">
        <f t="shared" si="41"/>
        <v>19378.215</v>
      </c>
      <c r="V136" s="66">
        <f t="shared" si="84"/>
        <v>38756.43</v>
      </c>
      <c r="W136" s="210"/>
      <c r="X136" s="66">
        <f t="shared" si="65"/>
        <v>0</v>
      </c>
      <c r="Y136" s="211"/>
      <c r="Z136" s="66">
        <f t="shared" si="66"/>
        <v>0</v>
      </c>
      <c r="AA136" s="210">
        <v>16</v>
      </c>
      <c r="AB136" s="66">
        <f t="shared" si="67"/>
        <v>7078.8</v>
      </c>
      <c r="AC136" s="211"/>
      <c r="AD136" s="66">
        <f t="shared" si="68"/>
        <v>0</v>
      </c>
      <c r="AE136" s="212"/>
      <c r="AF136" s="212"/>
      <c r="AG136" s="66">
        <f t="shared" si="69"/>
        <v>58134.644999999997</v>
      </c>
      <c r="AH136" s="66"/>
      <c r="AI136" s="66">
        <f t="shared" si="70"/>
        <v>0</v>
      </c>
      <c r="AJ136" s="210">
        <v>16</v>
      </c>
      <c r="AK136" s="66">
        <f t="shared" si="71"/>
        <v>7078.8</v>
      </c>
      <c r="AL136" s="210"/>
      <c r="AM136" s="213"/>
      <c r="AN136" s="210"/>
      <c r="AO136" s="210"/>
      <c r="AP136" s="210"/>
      <c r="AQ136" s="66">
        <f t="shared" si="85"/>
        <v>324241.03999999998</v>
      </c>
      <c r="AR136" s="66">
        <f t="shared" si="86"/>
        <v>3890.8924799999995</v>
      </c>
    </row>
    <row r="137" spans="1:44" s="215" customFormat="1" ht="15" customHeight="1">
      <c r="A137" s="51">
        <v>112</v>
      </c>
      <c r="B137" s="216" t="s">
        <v>149</v>
      </c>
      <c r="C137" s="217" t="s">
        <v>67</v>
      </c>
      <c r="D137" s="64" t="s">
        <v>50</v>
      </c>
      <c r="E137" s="51" t="s">
        <v>146</v>
      </c>
      <c r="F137" s="408" t="s">
        <v>537</v>
      </c>
      <c r="G137" s="214">
        <v>4.33</v>
      </c>
      <c r="H137" s="66">
        <v>17697</v>
      </c>
      <c r="I137" s="200">
        <v>2</v>
      </c>
      <c r="J137" s="66">
        <f t="shared" si="88"/>
        <v>153256.01999999999</v>
      </c>
      <c r="K137" s="200">
        <f t="shared" si="89"/>
        <v>1</v>
      </c>
      <c r="L137" s="200">
        <f t="shared" si="39"/>
        <v>16</v>
      </c>
      <c r="M137" s="210"/>
      <c r="N137" s="66">
        <f t="shared" si="87"/>
        <v>0</v>
      </c>
      <c r="O137" s="210">
        <v>12</v>
      </c>
      <c r="P137" s="66">
        <f t="shared" si="40"/>
        <v>114942.01499999998</v>
      </c>
      <c r="Q137" s="210">
        <v>4</v>
      </c>
      <c r="R137" s="66">
        <f t="shared" si="81"/>
        <v>38314.004999999997</v>
      </c>
      <c r="S137" s="201">
        <f t="shared" si="82"/>
        <v>38314.004999999997</v>
      </c>
      <c r="T137" s="66">
        <f t="shared" si="83"/>
        <v>191570.02499999999</v>
      </c>
      <c r="U137" s="66">
        <f t="shared" si="41"/>
        <v>19157.002499999999</v>
      </c>
      <c r="V137" s="66">
        <f t="shared" si="84"/>
        <v>38314.004999999997</v>
      </c>
      <c r="W137" s="210"/>
      <c r="X137" s="66">
        <f t="shared" si="65"/>
        <v>0</v>
      </c>
      <c r="Y137" s="211"/>
      <c r="Z137" s="66">
        <f t="shared" si="66"/>
        <v>0</v>
      </c>
      <c r="AA137" s="210"/>
      <c r="AB137" s="66">
        <f t="shared" si="67"/>
        <v>0</v>
      </c>
      <c r="AC137" s="211">
        <v>16</v>
      </c>
      <c r="AD137" s="66">
        <f t="shared" si="68"/>
        <v>7078.8</v>
      </c>
      <c r="AE137" s="212"/>
      <c r="AF137" s="212"/>
      <c r="AG137" s="66">
        <f t="shared" si="69"/>
        <v>57471.0075</v>
      </c>
      <c r="AH137" s="66"/>
      <c r="AI137" s="66">
        <f t="shared" si="70"/>
        <v>0</v>
      </c>
      <c r="AJ137" s="210">
        <v>16</v>
      </c>
      <c r="AK137" s="66">
        <f t="shared" si="71"/>
        <v>7078.8</v>
      </c>
      <c r="AL137" s="210"/>
      <c r="AM137" s="213"/>
      <c r="AN137" s="210"/>
      <c r="AO137" s="210"/>
      <c r="AP137" s="210"/>
      <c r="AQ137" s="66">
        <f t="shared" si="85"/>
        <v>320701.63999999996</v>
      </c>
      <c r="AR137" s="66">
        <f t="shared" si="86"/>
        <v>3848.4196799999995</v>
      </c>
    </row>
    <row r="138" spans="1:44" s="215" customFormat="1" ht="15" customHeight="1">
      <c r="A138" s="51">
        <v>113</v>
      </c>
      <c r="B138" s="216" t="s">
        <v>150</v>
      </c>
      <c r="C138" s="217" t="s">
        <v>55</v>
      </c>
      <c r="D138" s="64" t="s">
        <v>50</v>
      </c>
      <c r="E138" s="51" t="s">
        <v>146</v>
      </c>
      <c r="F138" s="408" t="s">
        <v>447</v>
      </c>
      <c r="G138" s="214">
        <v>4.33</v>
      </c>
      <c r="H138" s="66">
        <v>17697</v>
      </c>
      <c r="I138" s="200">
        <v>2</v>
      </c>
      <c r="J138" s="66">
        <f t="shared" si="88"/>
        <v>153256.01999999999</v>
      </c>
      <c r="K138" s="200">
        <f t="shared" si="89"/>
        <v>1.25</v>
      </c>
      <c r="L138" s="200">
        <f t="shared" si="39"/>
        <v>20</v>
      </c>
      <c r="M138" s="210"/>
      <c r="N138" s="66">
        <f t="shared" si="87"/>
        <v>0</v>
      </c>
      <c r="O138" s="210">
        <v>18</v>
      </c>
      <c r="P138" s="66">
        <f t="shared" si="40"/>
        <v>172413.02249999999</v>
      </c>
      <c r="Q138" s="210">
        <v>2</v>
      </c>
      <c r="R138" s="66">
        <f t="shared" si="81"/>
        <v>19157.002499999999</v>
      </c>
      <c r="S138" s="201">
        <f t="shared" si="82"/>
        <v>47892.506249999999</v>
      </c>
      <c r="T138" s="66">
        <f t="shared" si="83"/>
        <v>239462.53125</v>
      </c>
      <c r="U138" s="66">
        <f t="shared" si="41"/>
        <v>23946.253125000003</v>
      </c>
      <c r="V138" s="66">
        <f t="shared" si="84"/>
        <v>47892.506250000006</v>
      </c>
      <c r="W138" s="210"/>
      <c r="X138" s="66">
        <f t="shared" si="65"/>
        <v>0</v>
      </c>
      <c r="Y138" s="211">
        <v>1</v>
      </c>
      <c r="Z138" s="66">
        <f t="shared" si="66"/>
        <v>10618.199999999999</v>
      </c>
      <c r="AA138" s="210"/>
      <c r="AB138" s="66">
        <f t="shared" si="67"/>
        <v>0</v>
      </c>
      <c r="AC138" s="211">
        <v>20</v>
      </c>
      <c r="AD138" s="66">
        <f t="shared" si="68"/>
        <v>8848.5</v>
      </c>
      <c r="AE138" s="212"/>
      <c r="AF138" s="212"/>
      <c r="AG138" s="66">
        <f t="shared" si="69"/>
        <v>71838.759374999994</v>
      </c>
      <c r="AH138" s="66"/>
      <c r="AI138" s="66">
        <f t="shared" si="70"/>
        <v>0</v>
      </c>
      <c r="AJ138" s="210"/>
      <c r="AK138" s="66">
        <f t="shared" si="71"/>
        <v>0</v>
      </c>
      <c r="AL138" s="210"/>
      <c r="AM138" s="213"/>
      <c r="AN138" s="210"/>
      <c r="AO138" s="210"/>
      <c r="AP138" s="210"/>
      <c r="AQ138" s="66">
        <f t="shared" si="85"/>
        <v>402627.75</v>
      </c>
      <c r="AR138" s="66">
        <f t="shared" si="86"/>
        <v>4831.5330000000004</v>
      </c>
    </row>
    <row r="139" spans="1:44" s="215" customFormat="1" ht="15" customHeight="1">
      <c r="A139" s="51">
        <v>114</v>
      </c>
      <c r="B139" s="216" t="s">
        <v>151</v>
      </c>
      <c r="C139" s="217" t="s">
        <v>98</v>
      </c>
      <c r="D139" s="64" t="s">
        <v>50</v>
      </c>
      <c r="E139" s="51" t="s">
        <v>146</v>
      </c>
      <c r="F139" s="408" t="s">
        <v>445</v>
      </c>
      <c r="G139" s="214">
        <v>4.33</v>
      </c>
      <c r="H139" s="66">
        <v>17697</v>
      </c>
      <c r="I139" s="200">
        <v>2</v>
      </c>
      <c r="J139" s="66">
        <f t="shared" si="88"/>
        <v>153256.01999999999</v>
      </c>
      <c r="K139" s="200">
        <f t="shared" si="89"/>
        <v>0.375</v>
      </c>
      <c r="L139" s="200">
        <f t="shared" si="39"/>
        <v>6</v>
      </c>
      <c r="M139" s="210"/>
      <c r="N139" s="66">
        <f t="shared" si="87"/>
        <v>0</v>
      </c>
      <c r="O139" s="210">
        <v>6</v>
      </c>
      <c r="P139" s="66">
        <f t="shared" si="40"/>
        <v>57471.007499999992</v>
      </c>
      <c r="Q139" s="210"/>
      <c r="R139" s="66">
        <f t="shared" si="81"/>
        <v>0</v>
      </c>
      <c r="S139" s="201">
        <f t="shared" si="82"/>
        <v>14367.751874999998</v>
      </c>
      <c r="T139" s="66">
        <f t="shared" si="83"/>
        <v>71838.759374999994</v>
      </c>
      <c r="U139" s="66">
        <f t="shared" si="41"/>
        <v>7183.8759375</v>
      </c>
      <c r="V139" s="66">
        <f t="shared" si="84"/>
        <v>14367.751875</v>
      </c>
      <c r="W139" s="210"/>
      <c r="X139" s="66">
        <f t="shared" si="65"/>
        <v>0</v>
      </c>
      <c r="Y139" s="211"/>
      <c r="Z139" s="66">
        <f t="shared" si="66"/>
        <v>0</v>
      </c>
      <c r="AA139" s="210"/>
      <c r="AB139" s="66">
        <f t="shared" si="67"/>
        <v>0</v>
      </c>
      <c r="AC139" s="211"/>
      <c r="AD139" s="66">
        <f t="shared" si="68"/>
        <v>0</v>
      </c>
      <c r="AE139" s="212"/>
      <c r="AF139" s="212"/>
      <c r="AG139" s="66">
        <f t="shared" si="69"/>
        <v>21551.627812499999</v>
      </c>
      <c r="AH139" s="66"/>
      <c r="AI139" s="66">
        <f t="shared" si="70"/>
        <v>0</v>
      </c>
      <c r="AJ139" s="210"/>
      <c r="AK139" s="66">
        <f t="shared" si="71"/>
        <v>0</v>
      </c>
      <c r="AL139" s="210"/>
      <c r="AM139" s="213"/>
      <c r="AN139" s="210"/>
      <c r="AO139" s="210"/>
      <c r="AP139" s="210"/>
      <c r="AQ139" s="66">
        <f t="shared" si="85"/>
        <v>114942.01499999998</v>
      </c>
      <c r="AR139" s="66">
        <f t="shared" si="86"/>
        <v>1379.3041799999996</v>
      </c>
    </row>
    <row r="140" spans="1:44" s="215" customFormat="1" ht="15" customHeight="1">
      <c r="A140" s="51">
        <v>115</v>
      </c>
      <c r="B140" s="216" t="s">
        <v>153</v>
      </c>
      <c r="C140" s="217" t="s">
        <v>71</v>
      </c>
      <c r="D140" s="64" t="s">
        <v>50</v>
      </c>
      <c r="E140" s="51" t="s">
        <v>146</v>
      </c>
      <c r="F140" s="408" t="s">
        <v>515</v>
      </c>
      <c r="G140" s="214">
        <v>4.7300000000000004</v>
      </c>
      <c r="H140" s="66">
        <v>17697</v>
      </c>
      <c r="I140" s="200">
        <v>2</v>
      </c>
      <c r="J140" s="66">
        <f t="shared" si="88"/>
        <v>167413.62000000002</v>
      </c>
      <c r="K140" s="200">
        <f t="shared" si="89"/>
        <v>1.375</v>
      </c>
      <c r="L140" s="200">
        <f t="shared" si="39"/>
        <v>22</v>
      </c>
      <c r="M140" s="210"/>
      <c r="N140" s="66">
        <f t="shared" si="87"/>
        <v>0</v>
      </c>
      <c r="O140" s="210">
        <v>22</v>
      </c>
      <c r="P140" s="66">
        <f t="shared" si="40"/>
        <v>230193.72750000004</v>
      </c>
      <c r="Q140" s="210"/>
      <c r="R140" s="66">
        <f t="shared" si="81"/>
        <v>0</v>
      </c>
      <c r="S140" s="201">
        <f t="shared" si="82"/>
        <v>57548.431875000009</v>
      </c>
      <c r="T140" s="66">
        <f t="shared" si="83"/>
        <v>287742.15937500005</v>
      </c>
      <c r="U140" s="66">
        <f t="shared" si="41"/>
        <v>28774.215937500005</v>
      </c>
      <c r="V140" s="66">
        <f t="shared" si="84"/>
        <v>57548.431875000009</v>
      </c>
      <c r="W140" s="210"/>
      <c r="X140" s="66">
        <f t="shared" si="65"/>
        <v>0</v>
      </c>
      <c r="Y140" s="211"/>
      <c r="Z140" s="66">
        <f t="shared" si="66"/>
        <v>0</v>
      </c>
      <c r="AA140" s="210">
        <v>22</v>
      </c>
      <c r="AB140" s="66">
        <f t="shared" si="67"/>
        <v>9733.35</v>
      </c>
      <c r="AC140" s="211"/>
      <c r="AD140" s="66">
        <f t="shared" si="68"/>
        <v>0</v>
      </c>
      <c r="AE140" s="212"/>
      <c r="AF140" s="212"/>
      <c r="AG140" s="66">
        <f t="shared" si="69"/>
        <v>86322.647812500014</v>
      </c>
      <c r="AH140" s="66"/>
      <c r="AI140" s="66">
        <f t="shared" si="70"/>
        <v>0</v>
      </c>
      <c r="AJ140" s="210"/>
      <c r="AK140" s="66">
        <f t="shared" si="71"/>
        <v>0</v>
      </c>
      <c r="AL140" s="210"/>
      <c r="AM140" s="213"/>
      <c r="AN140" s="210"/>
      <c r="AO140" s="210"/>
      <c r="AP140" s="210"/>
      <c r="AQ140" s="66">
        <f t="shared" si="85"/>
        <v>470142.80500000005</v>
      </c>
      <c r="AR140" s="66">
        <f t="shared" si="86"/>
        <v>5641.7136600000003</v>
      </c>
    </row>
    <row r="141" spans="1:44" s="215" customFormat="1" ht="15" customHeight="1">
      <c r="A141" s="51">
        <v>116</v>
      </c>
      <c r="B141" s="216" t="s">
        <v>154</v>
      </c>
      <c r="C141" s="217" t="s">
        <v>98</v>
      </c>
      <c r="D141" s="64" t="s">
        <v>50</v>
      </c>
      <c r="E141" s="51" t="s">
        <v>146</v>
      </c>
      <c r="F141" s="408" t="s">
        <v>534</v>
      </c>
      <c r="G141" s="214">
        <v>4.7300000000000004</v>
      </c>
      <c r="H141" s="66">
        <v>17697</v>
      </c>
      <c r="I141" s="200">
        <v>2</v>
      </c>
      <c r="J141" s="66">
        <f t="shared" si="88"/>
        <v>167413.62000000002</v>
      </c>
      <c r="K141" s="200">
        <f t="shared" si="89"/>
        <v>1</v>
      </c>
      <c r="L141" s="200">
        <f t="shared" si="39"/>
        <v>16</v>
      </c>
      <c r="M141" s="210">
        <v>16</v>
      </c>
      <c r="N141" s="66">
        <f t="shared" si="87"/>
        <v>167413.62000000002</v>
      </c>
      <c r="O141" s="210"/>
      <c r="P141" s="66">
        <f t="shared" si="40"/>
        <v>0</v>
      </c>
      <c r="Q141" s="210"/>
      <c r="R141" s="66">
        <f t="shared" si="81"/>
        <v>0</v>
      </c>
      <c r="S141" s="201">
        <f t="shared" si="82"/>
        <v>41853.405000000006</v>
      </c>
      <c r="T141" s="66">
        <f t="shared" si="83"/>
        <v>209267.02500000002</v>
      </c>
      <c r="U141" s="66">
        <f t="shared" si="41"/>
        <v>20926.702500000003</v>
      </c>
      <c r="V141" s="66">
        <f t="shared" si="84"/>
        <v>41853.405000000006</v>
      </c>
      <c r="W141" s="210"/>
      <c r="X141" s="66">
        <f t="shared" si="65"/>
        <v>0</v>
      </c>
      <c r="Y141" s="211"/>
      <c r="Z141" s="66">
        <f t="shared" si="66"/>
        <v>0</v>
      </c>
      <c r="AA141" s="210"/>
      <c r="AB141" s="66">
        <f t="shared" si="67"/>
        <v>0</v>
      </c>
      <c r="AC141" s="211"/>
      <c r="AD141" s="66">
        <f t="shared" si="68"/>
        <v>0</v>
      </c>
      <c r="AE141" s="212"/>
      <c r="AF141" s="212"/>
      <c r="AG141" s="66">
        <f t="shared" si="69"/>
        <v>62780.107500000006</v>
      </c>
      <c r="AH141" s="66"/>
      <c r="AI141" s="66">
        <f t="shared" si="70"/>
        <v>0</v>
      </c>
      <c r="AJ141" s="210"/>
      <c r="AK141" s="66">
        <f t="shared" si="71"/>
        <v>0</v>
      </c>
      <c r="AL141" s="210"/>
      <c r="AM141" s="213"/>
      <c r="AN141" s="210"/>
      <c r="AO141" s="210"/>
      <c r="AP141" s="210"/>
      <c r="AQ141" s="66">
        <f t="shared" si="85"/>
        <v>334827.24000000005</v>
      </c>
      <c r="AR141" s="66">
        <f t="shared" si="86"/>
        <v>4017.9268800000009</v>
      </c>
    </row>
    <row r="142" spans="1:44" s="215" customFormat="1" ht="15" customHeight="1">
      <c r="A142" s="51">
        <v>117</v>
      </c>
      <c r="B142" s="79" t="s">
        <v>157</v>
      </c>
      <c r="C142" s="80" t="s">
        <v>158</v>
      </c>
      <c r="D142" s="64" t="s">
        <v>50</v>
      </c>
      <c r="E142" s="51" t="s">
        <v>146</v>
      </c>
      <c r="F142" s="413">
        <v>11.1</v>
      </c>
      <c r="G142" s="223">
        <v>4.38</v>
      </c>
      <c r="H142" s="66">
        <v>17697</v>
      </c>
      <c r="I142" s="200">
        <v>2</v>
      </c>
      <c r="J142" s="66">
        <f t="shared" si="88"/>
        <v>155025.72</v>
      </c>
      <c r="K142" s="200">
        <f t="shared" si="89"/>
        <v>6.25E-2</v>
      </c>
      <c r="L142" s="200">
        <f t="shared" si="39"/>
        <v>1</v>
      </c>
      <c r="M142" s="210"/>
      <c r="N142" s="66">
        <f t="shared" si="87"/>
        <v>0</v>
      </c>
      <c r="O142" s="210">
        <v>1</v>
      </c>
      <c r="P142" s="66">
        <f t="shared" si="40"/>
        <v>9689.1075000000001</v>
      </c>
      <c r="Q142" s="210"/>
      <c r="R142" s="66">
        <f t="shared" si="81"/>
        <v>0</v>
      </c>
      <c r="S142" s="201">
        <f t="shared" si="82"/>
        <v>2422.276875</v>
      </c>
      <c r="T142" s="66">
        <f t="shared" si="83"/>
        <v>12111.384375</v>
      </c>
      <c r="U142" s="66">
        <f t="shared" si="41"/>
        <v>1211.1384375</v>
      </c>
      <c r="V142" s="66">
        <f t="shared" si="84"/>
        <v>2422.276875</v>
      </c>
      <c r="W142" s="210"/>
      <c r="X142" s="66">
        <f t="shared" si="65"/>
        <v>0</v>
      </c>
      <c r="Y142" s="211">
        <v>1</v>
      </c>
      <c r="Z142" s="66">
        <f t="shared" si="66"/>
        <v>10618.199999999999</v>
      </c>
      <c r="AA142" s="210"/>
      <c r="AB142" s="66">
        <f t="shared" si="67"/>
        <v>0</v>
      </c>
      <c r="AC142" s="211"/>
      <c r="AD142" s="66">
        <f t="shared" si="68"/>
        <v>0</v>
      </c>
      <c r="AE142" s="212"/>
      <c r="AF142" s="212"/>
      <c r="AG142" s="66">
        <f t="shared" si="69"/>
        <v>3633.4153124999998</v>
      </c>
      <c r="AH142" s="66"/>
      <c r="AI142" s="66">
        <f t="shared" si="70"/>
        <v>0</v>
      </c>
      <c r="AJ142" s="210"/>
      <c r="AK142" s="66">
        <f t="shared" si="71"/>
        <v>0</v>
      </c>
      <c r="AL142" s="210"/>
      <c r="AM142" s="213"/>
      <c r="AN142" s="210"/>
      <c r="AO142" s="210"/>
      <c r="AP142" s="210"/>
      <c r="AQ142" s="66">
        <f t="shared" si="85"/>
        <v>29997.415000000001</v>
      </c>
      <c r="AR142" s="66">
        <f t="shared" si="86"/>
        <v>359.96897999999999</v>
      </c>
    </row>
    <row r="143" spans="1:44" s="215" customFormat="1" ht="15" customHeight="1">
      <c r="A143" s="51">
        <v>118</v>
      </c>
      <c r="B143" s="216" t="s">
        <v>159</v>
      </c>
      <c r="C143" s="217" t="s">
        <v>98</v>
      </c>
      <c r="D143" s="64" t="s">
        <v>50</v>
      </c>
      <c r="E143" s="51" t="s">
        <v>146</v>
      </c>
      <c r="F143" s="408" t="s">
        <v>553</v>
      </c>
      <c r="G143" s="214">
        <v>4.59</v>
      </c>
      <c r="H143" s="66">
        <v>17697</v>
      </c>
      <c r="I143" s="200">
        <v>2</v>
      </c>
      <c r="J143" s="66">
        <f t="shared" si="88"/>
        <v>162458.46</v>
      </c>
      <c r="K143" s="200">
        <f t="shared" si="89"/>
        <v>0.75</v>
      </c>
      <c r="L143" s="200">
        <f t="shared" si="39"/>
        <v>12</v>
      </c>
      <c r="M143" s="210">
        <v>9</v>
      </c>
      <c r="N143" s="66">
        <f t="shared" si="87"/>
        <v>91382.883749999994</v>
      </c>
      <c r="O143" s="210">
        <v>3</v>
      </c>
      <c r="P143" s="66">
        <f t="shared" si="40"/>
        <v>30460.96125</v>
      </c>
      <c r="Q143" s="210"/>
      <c r="R143" s="66">
        <f t="shared" si="81"/>
        <v>0</v>
      </c>
      <c r="S143" s="201">
        <f t="shared" si="82"/>
        <v>30460.96125</v>
      </c>
      <c r="T143" s="66">
        <f t="shared" si="83"/>
        <v>152304.80624999999</v>
      </c>
      <c r="U143" s="66">
        <f t="shared" si="41"/>
        <v>15230.480625</v>
      </c>
      <c r="V143" s="66">
        <f t="shared" si="84"/>
        <v>30460.96125</v>
      </c>
      <c r="W143" s="210"/>
      <c r="X143" s="66">
        <f t="shared" si="65"/>
        <v>0</v>
      </c>
      <c r="Y143" s="211"/>
      <c r="Z143" s="66">
        <f t="shared" si="66"/>
        <v>0</v>
      </c>
      <c r="AA143" s="210"/>
      <c r="AB143" s="66">
        <f t="shared" si="67"/>
        <v>0</v>
      </c>
      <c r="AC143" s="211"/>
      <c r="AD143" s="66">
        <f t="shared" si="68"/>
        <v>0</v>
      </c>
      <c r="AE143" s="212"/>
      <c r="AF143" s="212"/>
      <c r="AG143" s="66">
        <f t="shared" si="69"/>
        <v>45691.441874999997</v>
      </c>
      <c r="AH143" s="66"/>
      <c r="AI143" s="66">
        <f t="shared" si="70"/>
        <v>0</v>
      </c>
      <c r="AJ143" s="210"/>
      <c r="AK143" s="66">
        <f t="shared" si="71"/>
        <v>0</v>
      </c>
      <c r="AL143" s="210"/>
      <c r="AM143" s="213"/>
      <c r="AN143" s="210"/>
      <c r="AO143" s="210"/>
      <c r="AP143" s="210"/>
      <c r="AQ143" s="66">
        <f t="shared" si="85"/>
        <v>243687.68999999997</v>
      </c>
      <c r="AR143" s="66">
        <f t="shared" si="86"/>
        <v>2924.2522799999997</v>
      </c>
    </row>
    <row r="144" spans="1:44" s="215" customFormat="1" ht="15" customHeight="1">
      <c r="A144" s="51">
        <v>119</v>
      </c>
      <c r="B144" s="216" t="s">
        <v>161</v>
      </c>
      <c r="C144" s="217" t="s">
        <v>98</v>
      </c>
      <c r="D144" s="64" t="s">
        <v>50</v>
      </c>
      <c r="E144" s="51" t="s">
        <v>146</v>
      </c>
      <c r="F144" s="408" t="s">
        <v>554</v>
      </c>
      <c r="G144" s="214">
        <v>4.33</v>
      </c>
      <c r="H144" s="66">
        <v>17697</v>
      </c>
      <c r="I144" s="200">
        <v>2</v>
      </c>
      <c r="J144" s="66">
        <f t="shared" si="88"/>
        <v>153256.01999999999</v>
      </c>
      <c r="K144" s="200">
        <f t="shared" si="89"/>
        <v>0.75</v>
      </c>
      <c r="L144" s="200">
        <f t="shared" si="39"/>
        <v>12</v>
      </c>
      <c r="M144" s="210">
        <v>12</v>
      </c>
      <c r="N144" s="66">
        <f t="shared" si="87"/>
        <v>114942.01499999998</v>
      </c>
      <c r="O144" s="210"/>
      <c r="P144" s="66">
        <f t="shared" si="40"/>
        <v>0</v>
      </c>
      <c r="Q144" s="210"/>
      <c r="R144" s="66">
        <f t="shared" si="81"/>
        <v>0</v>
      </c>
      <c r="S144" s="201">
        <f t="shared" si="82"/>
        <v>28735.503749999996</v>
      </c>
      <c r="T144" s="66">
        <f t="shared" si="83"/>
        <v>143677.51874999999</v>
      </c>
      <c r="U144" s="66">
        <f t="shared" si="41"/>
        <v>14367.751875</v>
      </c>
      <c r="V144" s="66">
        <f t="shared" si="84"/>
        <v>28735.50375</v>
      </c>
      <c r="W144" s="210"/>
      <c r="X144" s="66">
        <f t="shared" si="65"/>
        <v>0</v>
      </c>
      <c r="Y144" s="211"/>
      <c r="Z144" s="66">
        <f t="shared" si="66"/>
        <v>0</v>
      </c>
      <c r="AA144" s="210"/>
      <c r="AB144" s="66">
        <f t="shared" si="67"/>
        <v>0</v>
      </c>
      <c r="AC144" s="211"/>
      <c r="AD144" s="66">
        <f t="shared" si="68"/>
        <v>0</v>
      </c>
      <c r="AE144" s="212"/>
      <c r="AF144" s="212"/>
      <c r="AG144" s="66">
        <f t="shared" si="69"/>
        <v>43103.255624999998</v>
      </c>
      <c r="AH144" s="66"/>
      <c r="AI144" s="66">
        <f t="shared" si="70"/>
        <v>0</v>
      </c>
      <c r="AJ144" s="210"/>
      <c r="AK144" s="66">
        <f t="shared" si="71"/>
        <v>0</v>
      </c>
      <c r="AL144" s="210"/>
      <c r="AM144" s="213"/>
      <c r="AN144" s="210"/>
      <c r="AO144" s="210"/>
      <c r="AP144" s="210"/>
      <c r="AQ144" s="66">
        <f t="shared" si="85"/>
        <v>229884.02999999997</v>
      </c>
      <c r="AR144" s="66">
        <f t="shared" si="86"/>
        <v>2758.6083599999993</v>
      </c>
    </row>
    <row r="145" spans="1:44" s="215" customFormat="1" ht="15" customHeight="1">
      <c r="A145" s="51">
        <v>120</v>
      </c>
      <c r="B145" s="216" t="s">
        <v>163</v>
      </c>
      <c r="C145" s="217" t="s">
        <v>98</v>
      </c>
      <c r="D145" s="64" t="s">
        <v>50</v>
      </c>
      <c r="E145" s="51" t="s">
        <v>146</v>
      </c>
      <c r="F145" s="408" t="s">
        <v>555</v>
      </c>
      <c r="G145" s="214">
        <v>4.2699999999999996</v>
      </c>
      <c r="H145" s="66">
        <v>17697</v>
      </c>
      <c r="I145" s="200">
        <v>2</v>
      </c>
      <c r="J145" s="66">
        <f t="shared" si="88"/>
        <v>151132.37999999998</v>
      </c>
      <c r="K145" s="200">
        <f t="shared" si="89"/>
        <v>0.8125</v>
      </c>
      <c r="L145" s="200">
        <f t="shared" si="39"/>
        <v>13</v>
      </c>
      <c r="M145" s="210">
        <v>3</v>
      </c>
      <c r="N145" s="66">
        <f t="shared" si="87"/>
        <v>28337.321249999994</v>
      </c>
      <c r="O145" s="210">
        <v>7</v>
      </c>
      <c r="P145" s="66">
        <f t="shared" si="40"/>
        <v>66120.416249999995</v>
      </c>
      <c r="Q145" s="210">
        <v>3</v>
      </c>
      <c r="R145" s="66">
        <f t="shared" si="81"/>
        <v>28337.321249999994</v>
      </c>
      <c r="S145" s="201">
        <f t="shared" si="82"/>
        <v>30698.764687499995</v>
      </c>
      <c r="T145" s="66">
        <f t="shared" si="83"/>
        <v>153493.82343749999</v>
      </c>
      <c r="U145" s="66">
        <f t="shared" si="41"/>
        <v>15349.38234375</v>
      </c>
      <c r="V145" s="66">
        <f t="shared" si="84"/>
        <v>30698.764687499999</v>
      </c>
      <c r="W145" s="210"/>
      <c r="X145" s="66">
        <f t="shared" si="65"/>
        <v>0</v>
      </c>
      <c r="Y145" s="211"/>
      <c r="Z145" s="66">
        <f t="shared" si="66"/>
        <v>0</v>
      </c>
      <c r="AA145" s="210"/>
      <c r="AB145" s="66">
        <f t="shared" si="67"/>
        <v>0</v>
      </c>
      <c r="AC145" s="211"/>
      <c r="AD145" s="66">
        <f t="shared" si="68"/>
        <v>0</v>
      </c>
      <c r="AE145" s="212"/>
      <c r="AF145" s="212"/>
      <c r="AG145" s="66">
        <f t="shared" si="69"/>
        <v>46048.147031249995</v>
      </c>
      <c r="AH145" s="66"/>
      <c r="AI145" s="66">
        <f t="shared" si="70"/>
        <v>0</v>
      </c>
      <c r="AJ145" s="210"/>
      <c r="AK145" s="66">
        <f t="shared" si="71"/>
        <v>0</v>
      </c>
      <c r="AL145" s="210"/>
      <c r="AM145" s="213"/>
      <c r="AN145" s="210"/>
      <c r="AO145" s="210"/>
      <c r="AP145" s="210"/>
      <c r="AQ145" s="66">
        <f t="shared" si="85"/>
        <v>245590.11749999999</v>
      </c>
      <c r="AR145" s="66">
        <f t="shared" si="86"/>
        <v>2947.0814100000002</v>
      </c>
    </row>
    <row r="146" spans="1:44" s="215" customFormat="1" ht="15" customHeight="1">
      <c r="A146" s="51">
        <v>121</v>
      </c>
      <c r="B146" s="216" t="s">
        <v>164</v>
      </c>
      <c r="C146" s="217" t="s">
        <v>60</v>
      </c>
      <c r="D146" s="64" t="s">
        <v>50</v>
      </c>
      <c r="E146" s="51" t="s">
        <v>146</v>
      </c>
      <c r="F146" s="408" t="s">
        <v>556</v>
      </c>
      <c r="G146" s="214">
        <v>4.59</v>
      </c>
      <c r="H146" s="66">
        <v>17697</v>
      </c>
      <c r="I146" s="200">
        <v>2</v>
      </c>
      <c r="J146" s="66">
        <f t="shared" si="88"/>
        <v>162458.46</v>
      </c>
      <c r="K146" s="200">
        <f t="shared" si="89"/>
        <v>1</v>
      </c>
      <c r="L146" s="200">
        <f t="shared" si="39"/>
        <v>16</v>
      </c>
      <c r="M146" s="210">
        <v>4</v>
      </c>
      <c r="N146" s="66">
        <f t="shared" si="87"/>
        <v>40614.614999999998</v>
      </c>
      <c r="O146" s="210">
        <v>12</v>
      </c>
      <c r="P146" s="66">
        <f t="shared" si="40"/>
        <v>121843.845</v>
      </c>
      <c r="Q146" s="210"/>
      <c r="R146" s="66">
        <f t="shared" si="81"/>
        <v>0</v>
      </c>
      <c r="S146" s="201">
        <f t="shared" si="82"/>
        <v>40614.614999999998</v>
      </c>
      <c r="T146" s="66">
        <f t="shared" si="83"/>
        <v>203073.07499999998</v>
      </c>
      <c r="U146" s="66">
        <f t="shared" si="41"/>
        <v>20307.307499999999</v>
      </c>
      <c r="V146" s="66">
        <f t="shared" si="84"/>
        <v>40614.614999999998</v>
      </c>
      <c r="W146" s="210"/>
      <c r="X146" s="66">
        <f t="shared" si="65"/>
        <v>0</v>
      </c>
      <c r="Y146" s="211"/>
      <c r="Z146" s="66">
        <f t="shared" si="66"/>
        <v>0</v>
      </c>
      <c r="AA146" s="210">
        <v>16</v>
      </c>
      <c r="AB146" s="66">
        <f t="shared" si="67"/>
        <v>7078.8</v>
      </c>
      <c r="AC146" s="211"/>
      <c r="AD146" s="66">
        <f t="shared" si="68"/>
        <v>0</v>
      </c>
      <c r="AE146" s="212"/>
      <c r="AF146" s="212"/>
      <c r="AG146" s="66">
        <f t="shared" si="69"/>
        <v>60921.922499999993</v>
      </c>
      <c r="AH146" s="66"/>
      <c r="AI146" s="66">
        <f t="shared" si="70"/>
        <v>0</v>
      </c>
      <c r="AJ146" s="210"/>
      <c r="AK146" s="66">
        <f t="shared" si="71"/>
        <v>0</v>
      </c>
      <c r="AL146" s="210"/>
      <c r="AM146" s="213"/>
      <c r="AN146" s="210"/>
      <c r="AO146" s="210"/>
      <c r="AP146" s="210"/>
      <c r="AQ146" s="66">
        <f t="shared" si="85"/>
        <v>332011.71999999997</v>
      </c>
      <c r="AR146" s="66">
        <f t="shared" si="86"/>
        <v>3984.1406399999996</v>
      </c>
    </row>
    <row r="147" spans="1:44" s="215" customFormat="1" ht="15" customHeight="1">
      <c r="A147" s="51">
        <v>122</v>
      </c>
      <c r="B147" s="216" t="s">
        <v>166</v>
      </c>
      <c r="C147" s="217" t="s">
        <v>60</v>
      </c>
      <c r="D147" s="64" t="s">
        <v>50</v>
      </c>
      <c r="E147" s="51" t="s">
        <v>146</v>
      </c>
      <c r="F147" s="408" t="s">
        <v>549</v>
      </c>
      <c r="G147" s="214">
        <v>4.2300000000000004</v>
      </c>
      <c r="H147" s="66">
        <v>17697</v>
      </c>
      <c r="I147" s="200">
        <v>2</v>
      </c>
      <c r="J147" s="66">
        <f t="shared" si="88"/>
        <v>149716.62000000002</v>
      </c>
      <c r="K147" s="200">
        <f t="shared" si="89"/>
        <v>0.9375</v>
      </c>
      <c r="L147" s="200">
        <f t="shared" si="39"/>
        <v>15</v>
      </c>
      <c r="M147" s="210"/>
      <c r="N147" s="66">
        <f t="shared" si="87"/>
        <v>0</v>
      </c>
      <c r="O147" s="210">
        <v>15</v>
      </c>
      <c r="P147" s="66">
        <f t="shared" si="40"/>
        <v>140359.33125000002</v>
      </c>
      <c r="Q147" s="210"/>
      <c r="R147" s="66">
        <f t="shared" si="81"/>
        <v>0</v>
      </c>
      <c r="S147" s="201">
        <f t="shared" si="82"/>
        <v>35089.832812500004</v>
      </c>
      <c r="T147" s="66">
        <f t="shared" si="83"/>
        <v>175449.16406250003</v>
      </c>
      <c r="U147" s="66">
        <f t="shared" si="41"/>
        <v>17544.916406250002</v>
      </c>
      <c r="V147" s="66">
        <f t="shared" si="84"/>
        <v>35089.832812500004</v>
      </c>
      <c r="W147" s="210"/>
      <c r="X147" s="66">
        <f t="shared" si="65"/>
        <v>0</v>
      </c>
      <c r="Y147" s="211">
        <v>1</v>
      </c>
      <c r="Z147" s="66">
        <f t="shared" si="66"/>
        <v>10618.199999999999</v>
      </c>
      <c r="AA147" s="210">
        <v>15</v>
      </c>
      <c r="AB147" s="66">
        <f t="shared" si="67"/>
        <v>6636.375</v>
      </c>
      <c r="AC147" s="211"/>
      <c r="AD147" s="66">
        <f t="shared" si="68"/>
        <v>0</v>
      </c>
      <c r="AE147" s="212"/>
      <c r="AF147" s="212"/>
      <c r="AG147" s="66">
        <f t="shared" si="69"/>
        <v>52634.74921875001</v>
      </c>
      <c r="AH147" s="66"/>
      <c r="AI147" s="66">
        <f t="shared" si="70"/>
        <v>0</v>
      </c>
      <c r="AJ147" s="210"/>
      <c r="AK147" s="66">
        <f t="shared" si="71"/>
        <v>0</v>
      </c>
      <c r="AL147" s="210"/>
      <c r="AM147" s="213"/>
      <c r="AN147" s="210"/>
      <c r="AO147" s="210"/>
      <c r="AP147" s="210"/>
      <c r="AQ147" s="66">
        <f t="shared" si="85"/>
        <v>297989.23750000005</v>
      </c>
      <c r="AR147" s="66">
        <f t="shared" si="86"/>
        <v>3575.8708500000007</v>
      </c>
    </row>
    <row r="148" spans="1:44" s="215" customFormat="1" ht="15" customHeight="1">
      <c r="A148" s="51">
        <v>123</v>
      </c>
      <c r="B148" s="216" t="s">
        <v>169</v>
      </c>
      <c r="C148" s="217" t="s">
        <v>60</v>
      </c>
      <c r="D148" s="64" t="s">
        <v>50</v>
      </c>
      <c r="E148" s="51" t="s">
        <v>146</v>
      </c>
      <c r="F148" s="408" t="s">
        <v>557</v>
      </c>
      <c r="G148" s="214">
        <v>4.2300000000000004</v>
      </c>
      <c r="H148" s="66">
        <v>17697</v>
      </c>
      <c r="I148" s="200">
        <v>2</v>
      </c>
      <c r="J148" s="66">
        <f t="shared" si="88"/>
        <v>149716.62000000002</v>
      </c>
      <c r="K148" s="200">
        <f t="shared" si="89"/>
        <v>0.8125</v>
      </c>
      <c r="L148" s="200">
        <f t="shared" si="39"/>
        <v>13</v>
      </c>
      <c r="M148" s="210">
        <v>4</v>
      </c>
      <c r="N148" s="66">
        <f t="shared" si="87"/>
        <v>37429.155000000006</v>
      </c>
      <c r="O148" s="210">
        <v>9</v>
      </c>
      <c r="P148" s="66">
        <f t="shared" si="40"/>
        <v>84215.598750000019</v>
      </c>
      <c r="Q148" s="210"/>
      <c r="R148" s="66">
        <f t="shared" si="81"/>
        <v>0</v>
      </c>
      <c r="S148" s="201">
        <f t="shared" si="82"/>
        <v>30411.188437500008</v>
      </c>
      <c r="T148" s="66">
        <f t="shared" si="83"/>
        <v>152055.94218750004</v>
      </c>
      <c r="U148" s="66">
        <f t="shared" si="41"/>
        <v>15205.594218750004</v>
      </c>
      <c r="V148" s="66">
        <f t="shared" si="84"/>
        <v>30411.188437500008</v>
      </c>
      <c r="W148" s="210"/>
      <c r="X148" s="66">
        <f t="shared" si="65"/>
        <v>0</v>
      </c>
      <c r="Y148" s="211"/>
      <c r="Z148" s="66">
        <f t="shared" si="66"/>
        <v>0</v>
      </c>
      <c r="AA148" s="210">
        <v>13</v>
      </c>
      <c r="AB148" s="66">
        <f t="shared" si="67"/>
        <v>5751.5250000000005</v>
      </c>
      <c r="AC148" s="211"/>
      <c r="AD148" s="66">
        <f t="shared" si="68"/>
        <v>0</v>
      </c>
      <c r="AE148" s="212"/>
      <c r="AF148" s="212"/>
      <c r="AG148" s="66">
        <f t="shared" si="69"/>
        <v>45616.782656250012</v>
      </c>
      <c r="AH148" s="66"/>
      <c r="AI148" s="66">
        <f t="shared" si="70"/>
        <v>0</v>
      </c>
      <c r="AJ148" s="210"/>
      <c r="AK148" s="66">
        <f t="shared" si="71"/>
        <v>0</v>
      </c>
      <c r="AL148" s="210"/>
      <c r="AM148" s="213"/>
      <c r="AN148" s="210"/>
      <c r="AO148" s="210"/>
      <c r="AP148" s="210"/>
      <c r="AQ148" s="66">
        <f t="shared" si="85"/>
        <v>249054.03250000003</v>
      </c>
      <c r="AR148" s="66">
        <f t="shared" si="86"/>
        <v>2988.6483900000007</v>
      </c>
    </row>
    <row r="149" spans="1:44" s="215" customFormat="1" ht="16.5" customHeight="1">
      <c r="A149" s="51">
        <v>124</v>
      </c>
      <c r="B149" s="216" t="s">
        <v>171</v>
      </c>
      <c r="C149" s="217" t="s">
        <v>60</v>
      </c>
      <c r="D149" s="64" t="s">
        <v>50</v>
      </c>
      <c r="E149" s="51" t="s">
        <v>146</v>
      </c>
      <c r="F149" s="408" t="s">
        <v>558</v>
      </c>
      <c r="G149" s="214">
        <v>4.1399999999999997</v>
      </c>
      <c r="H149" s="66">
        <v>17697</v>
      </c>
      <c r="I149" s="200">
        <v>2</v>
      </c>
      <c r="J149" s="66">
        <f t="shared" si="88"/>
        <v>146531.15999999997</v>
      </c>
      <c r="K149" s="200">
        <f t="shared" si="89"/>
        <v>0.8125</v>
      </c>
      <c r="L149" s="200">
        <f t="shared" si="39"/>
        <v>13</v>
      </c>
      <c r="M149" s="210">
        <v>10</v>
      </c>
      <c r="N149" s="66">
        <f t="shared" si="87"/>
        <v>91581.974999999977</v>
      </c>
      <c r="O149" s="210">
        <v>3</v>
      </c>
      <c r="P149" s="66">
        <f t="shared" si="40"/>
        <v>27474.592499999995</v>
      </c>
      <c r="Q149" s="210"/>
      <c r="R149" s="66">
        <f t="shared" si="81"/>
        <v>0</v>
      </c>
      <c r="S149" s="201">
        <f t="shared" si="82"/>
        <v>29764.141874999994</v>
      </c>
      <c r="T149" s="66">
        <f t="shared" si="83"/>
        <v>148820.70937499998</v>
      </c>
      <c r="U149" s="66">
        <f t="shared" si="41"/>
        <v>14882.070937499999</v>
      </c>
      <c r="V149" s="66">
        <f t="shared" si="84"/>
        <v>29764.141874999998</v>
      </c>
      <c r="W149" s="210"/>
      <c r="X149" s="66">
        <f t="shared" si="65"/>
        <v>0</v>
      </c>
      <c r="Y149" s="211">
        <v>1</v>
      </c>
      <c r="Z149" s="66">
        <f t="shared" si="66"/>
        <v>10618.199999999999</v>
      </c>
      <c r="AA149" s="210">
        <v>13</v>
      </c>
      <c r="AB149" s="66">
        <f t="shared" si="67"/>
        <v>5751.5250000000005</v>
      </c>
      <c r="AC149" s="211"/>
      <c r="AD149" s="66">
        <f t="shared" si="68"/>
        <v>0</v>
      </c>
      <c r="AE149" s="212"/>
      <c r="AF149" s="212"/>
      <c r="AG149" s="66">
        <f t="shared" si="69"/>
        <v>44646.212812499994</v>
      </c>
      <c r="AH149" s="66"/>
      <c r="AI149" s="66">
        <f t="shared" si="70"/>
        <v>0</v>
      </c>
      <c r="AJ149" s="210"/>
      <c r="AK149" s="66">
        <f t="shared" si="71"/>
        <v>0</v>
      </c>
      <c r="AL149" s="210"/>
      <c r="AM149" s="213"/>
      <c r="AN149" s="210"/>
      <c r="AO149" s="210"/>
      <c r="AP149" s="210"/>
      <c r="AQ149" s="66">
        <f t="shared" si="85"/>
        <v>254496.85999999996</v>
      </c>
      <c r="AR149" s="66">
        <f t="shared" si="86"/>
        <v>3053.9623199999992</v>
      </c>
    </row>
    <row r="150" spans="1:44" s="215" customFormat="1" ht="15" customHeight="1">
      <c r="A150" s="51">
        <v>125</v>
      </c>
      <c r="B150" s="79" t="s">
        <v>172</v>
      </c>
      <c r="C150" s="63" t="s">
        <v>85</v>
      </c>
      <c r="D150" s="64" t="s">
        <v>50</v>
      </c>
      <c r="E150" s="51" t="s">
        <v>146</v>
      </c>
      <c r="F150" s="413">
        <v>10</v>
      </c>
      <c r="G150" s="223">
        <v>4.38</v>
      </c>
      <c r="H150" s="66">
        <v>17697</v>
      </c>
      <c r="I150" s="200">
        <v>2</v>
      </c>
      <c r="J150" s="66">
        <f t="shared" si="88"/>
        <v>155025.72</v>
      </c>
      <c r="K150" s="200">
        <f t="shared" si="89"/>
        <v>0.6875</v>
      </c>
      <c r="L150" s="200">
        <f t="shared" si="39"/>
        <v>11</v>
      </c>
      <c r="M150" s="210">
        <v>5</v>
      </c>
      <c r="N150" s="66">
        <f t="shared" si="87"/>
        <v>48445.537499999999</v>
      </c>
      <c r="O150" s="210">
        <v>6</v>
      </c>
      <c r="P150" s="66">
        <f t="shared" si="40"/>
        <v>58134.645000000004</v>
      </c>
      <c r="Q150" s="210"/>
      <c r="R150" s="66">
        <f t="shared" si="81"/>
        <v>0</v>
      </c>
      <c r="S150" s="201">
        <f t="shared" si="82"/>
        <v>26645.045624999999</v>
      </c>
      <c r="T150" s="66">
        <f t="shared" si="83"/>
        <v>133225.22812499999</v>
      </c>
      <c r="U150" s="66">
        <f t="shared" si="41"/>
        <v>13322.522812499999</v>
      </c>
      <c r="V150" s="66">
        <f t="shared" si="84"/>
        <v>26645.045624999999</v>
      </c>
      <c r="W150" s="210"/>
      <c r="X150" s="66">
        <f t="shared" si="65"/>
        <v>0</v>
      </c>
      <c r="Y150" s="211">
        <v>1</v>
      </c>
      <c r="Z150" s="66">
        <f t="shared" si="66"/>
        <v>10618.199999999999</v>
      </c>
      <c r="AA150" s="210">
        <v>13</v>
      </c>
      <c r="AB150" s="66">
        <f t="shared" si="67"/>
        <v>5751.5250000000005</v>
      </c>
      <c r="AC150" s="211"/>
      <c r="AD150" s="66">
        <f t="shared" si="68"/>
        <v>0</v>
      </c>
      <c r="AE150" s="212"/>
      <c r="AF150" s="212"/>
      <c r="AG150" s="66">
        <f t="shared" si="69"/>
        <v>39967.568437499998</v>
      </c>
      <c r="AH150" s="66"/>
      <c r="AI150" s="66">
        <f t="shared" si="70"/>
        <v>0</v>
      </c>
      <c r="AJ150" s="210">
        <v>3</v>
      </c>
      <c r="AK150" s="66">
        <f t="shared" si="71"/>
        <v>1327.2750000000001</v>
      </c>
      <c r="AL150" s="210"/>
      <c r="AM150" s="213"/>
      <c r="AN150" s="210"/>
      <c r="AO150" s="210"/>
      <c r="AP150" s="210"/>
      <c r="AQ150" s="66">
        <f t="shared" si="85"/>
        <v>230874.36499999996</v>
      </c>
      <c r="AR150" s="66">
        <f t="shared" si="86"/>
        <v>2770.4923799999992</v>
      </c>
    </row>
    <row r="151" spans="1:44" s="215" customFormat="1" ht="15" customHeight="1">
      <c r="A151" s="51">
        <v>126</v>
      </c>
      <c r="B151" s="216" t="s">
        <v>174</v>
      </c>
      <c r="C151" s="217" t="s">
        <v>87</v>
      </c>
      <c r="D151" s="64" t="s">
        <v>50</v>
      </c>
      <c r="E151" s="51" t="s">
        <v>146</v>
      </c>
      <c r="F151" s="408" t="s">
        <v>556</v>
      </c>
      <c r="G151" s="214">
        <v>4.59</v>
      </c>
      <c r="H151" s="66">
        <v>17697</v>
      </c>
      <c r="I151" s="200">
        <v>2</v>
      </c>
      <c r="J151" s="66">
        <f t="shared" si="88"/>
        <v>162458.46</v>
      </c>
      <c r="K151" s="200">
        <f t="shared" si="89"/>
        <v>1.0625</v>
      </c>
      <c r="L151" s="200">
        <f t="shared" si="39"/>
        <v>17</v>
      </c>
      <c r="M151" s="210"/>
      <c r="N151" s="66">
        <f t="shared" si="87"/>
        <v>0</v>
      </c>
      <c r="O151" s="210">
        <v>17</v>
      </c>
      <c r="P151" s="66">
        <f t="shared" si="40"/>
        <v>172612.11374999999</v>
      </c>
      <c r="Q151" s="210"/>
      <c r="R151" s="66">
        <f t="shared" si="81"/>
        <v>0</v>
      </c>
      <c r="S151" s="201">
        <f t="shared" si="82"/>
        <v>43153.028437499997</v>
      </c>
      <c r="T151" s="66">
        <f t="shared" si="83"/>
        <v>215765.14218749999</v>
      </c>
      <c r="U151" s="66">
        <f t="shared" si="41"/>
        <v>21576.514218750002</v>
      </c>
      <c r="V151" s="66">
        <f t="shared" si="84"/>
        <v>43153.028437500005</v>
      </c>
      <c r="W151" s="210"/>
      <c r="X151" s="66">
        <f t="shared" si="65"/>
        <v>0</v>
      </c>
      <c r="Y151" s="211"/>
      <c r="Z151" s="66">
        <f t="shared" si="66"/>
        <v>0</v>
      </c>
      <c r="AA151" s="210"/>
      <c r="AB151" s="66">
        <f t="shared" si="67"/>
        <v>0</v>
      </c>
      <c r="AC151" s="211"/>
      <c r="AD151" s="66">
        <f t="shared" si="68"/>
        <v>0</v>
      </c>
      <c r="AE151" s="212"/>
      <c r="AF151" s="212"/>
      <c r="AG151" s="66">
        <f t="shared" si="69"/>
        <v>64729.542656249992</v>
      </c>
      <c r="AH151" s="66"/>
      <c r="AI151" s="66">
        <f t="shared" si="70"/>
        <v>0</v>
      </c>
      <c r="AJ151" s="210"/>
      <c r="AK151" s="66">
        <f t="shared" si="71"/>
        <v>0</v>
      </c>
      <c r="AL151" s="210"/>
      <c r="AM151" s="213"/>
      <c r="AN151" s="210"/>
      <c r="AO151" s="210"/>
      <c r="AP151" s="210"/>
      <c r="AQ151" s="66">
        <f t="shared" si="85"/>
        <v>345224.22749999998</v>
      </c>
      <c r="AR151" s="66">
        <f t="shared" si="86"/>
        <v>4142.6907299999993</v>
      </c>
    </row>
    <row r="152" spans="1:44" s="215" customFormat="1" ht="15" customHeight="1">
      <c r="A152" s="51">
        <v>127</v>
      </c>
      <c r="B152" s="245" t="s">
        <v>560</v>
      </c>
      <c r="C152" s="217" t="s">
        <v>53</v>
      </c>
      <c r="D152" s="64" t="s">
        <v>50</v>
      </c>
      <c r="E152" s="51" t="s">
        <v>146</v>
      </c>
      <c r="F152" s="412">
        <v>7.1</v>
      </c>
      <c r="G152" s="223">
        <v>4.33</v>
      </c>
      <c r="H152" s="66">
        <v>17697</v>
      </c>
      <c r="I152" s="200">
        <v>2</v>
      </c>
      <c r="J152" s="66">
        <f t="shared" si="88"/>
        <v>153256.01999999999</v>
      </c>
      <c r="K152" s="200">
        <f t="shared" si="89"/>
        <v>1</v>
      </c>
      <c r="L152" s="200">
        <f t="shared" ref="L152:L158" si="90">M152+O152+Q152</f>
        <v>16</v>
      </c>
      <c r="M152" s="210">
        <v>16</v>
      </c>
      <c r="N152" s="66">
        <f t="shared" si="87"/>
        <v>153256.01999999999</v>
      </c>
      <c r="O152" s="210"/>
      <c r="P152" s="66">
        <f t="shared" ref="P152:P158" si="91">J152/16*O152</f>
        <v>0</v>
      </c>
      <c r="Q152" s="210"/>
      <c r="R152" s="66">
        <f t="shared" si="81"/>
        <v>0</v>
      </c>
      <c r="S152" s="201">
        <f t="shared" si="82"/>
        <v>38314.004999999997</v>
      </c>
      <c r="T152" s="66">
        <f t="shared" si="83"/>
        <v>191570.02499999999</v>
      </c>
      <c r="U152" s="66">
        <f t="shared" ref="U152:U158" si="92">T152*10%</f>
        <v>19157.002499999999</v>
      </c>
      <c r="V152" s="66">
        <f t="shared" si="84"/>
        <v>38314.004999999997</v>
      </c>
      <c r="W152" s="210"/>
      <c r="X152" s="66">
        <f t="shared" si="65"/>
        <v>0</v>
      </c>
      <c r="Y152" s="211"/>
      <c r="Z152" s="66">
        <f t="shared" si="66"/>
        <v>0</v>
      </c>
      <c r="AA152" s="210"/>
      <c r="AB152" s="66">
        <f t="shared" si="67"/>
        <v>0</v>
      </c>
      <c r="AC152" s="211">
        <v>16</v>
      </c>
      <c r="AD152" s="66">
        <f t="shared" si="68"/>
        <v>7078.8</v>
      </c>
      <c r="AE152" s="212"/>
      <c r="AF152" s="212"/>
      <c r="AG152" s="66">
        <f t="shared" si="69"/>
        <v>57471.0075</v>
      </c>
      <c r="AH152" s="66"/>
      <c r="AI152" s="66">
        <f t="shared" si="70"/>
        <v>0</v>
      </c>
      <c r="AJ152" s="210">
        <v>15</v>
      </c>
      <c r="AK152" s="66">
        <f t="shared" si="71"/>
        <v>6636.375</v>
      </c>
      <c r="AL152" s="210"/>
      <c r="AM152" s="213"/>
      <c r="AN152" s="210"/>
      <c r="AO152" s="210"/>
      <c r="AP152" s="210"/>
      <c r="AQ152" s="66">
        <f t="shared" si="85"/>
        <v>320258.21499999997</v>
      </c>
      <c r="AR152" s="66">
        <f t="shared" si="86"/>
        <v>3843.0985799999994</v>
      </c>
    </row>
    <row r="153" spans="1:44" s="215" customFormat="1" ht="15" customHeight="1">
      <c r="A153" s="51">
        <v>128</v>
      </c>
      <c r="B153" s="79" t="s">
        <v>177</v>
      </c>
      <c r="C153" s="63" t="s">
        <v>98</v>
      </c>
      <c r="D153" s="64" t="s">
        <v>50</v>
      </c>
      <c r="E153" s="51" t="s">
        <v>146</v>
      </c>
      <c r="F153" s="412">
        <v>5</v>
      </c>
      <c r="G153" s="223">
        <v>4.2699999999999996</v>
      </c>
      <c r="H153" s="66">
        <v>17697</v>
      </c>
      <c r="I153" s="200">
        <v>2</v>
      </c>
      <c r="J153" s="66">
        <f t="shared" si="88"/>
        <v>151132.37999999998</v>
      </c>
      <c r="K153" s="200">
        <f t="shared" si="89"/>
        <v>0</v>
      </c>
      <c r="L153" s="200">
        <f t="shared" si="90"/>
        <v>0</v>
      </c>
      <c r="M153" s="210"/>
      <c r="N153" s="66">
        <f t="shared" si="87"/>
        <v>0</v>
      </c>
      <c r="O153" s="210"/>
      <c r="P153" s="66">
        <f t="shared" si="91"/>
        <v>0</v>
      </c>
      <c r="Q153" s="210"/>
      <c r="R153" s="66">
        <f t="shared" si="81"/>
        <v>0</v>
      </c>
      <c r="S153" s="201">
        <f t="shared" si="82"/>
        <v>0</v>
      </c>
      <c r="T153" s="66">
        <f t="shared" si="83"/>
        <v>0</v>
      </c>
      <c r="U153" s="66">
        <f t="shared" si="92"/>
        <v>0</v>
      </c>
      <c r="V153" s="66">
        <f t="shared" si="84"/>
        <v>0</v>
      </c>
      <c r="W153" s="210"/>
      <c r="X153" s="66">
        <f t="shared" si="65"/>
        <v>0</v>
      </c>
      <c r="Y153" s="211">
        <v>1</v>
      </c>
      <c r="Z153" s="66">
        <f t="shared" si="66"/>
        <v>10618.199999999999</v>
      </c>
      <c r="AA153" s="210"/>
      <c r="AB153" s="66">
        <f t="shared" si="67"/>
        <v>0</v>
      </c>
      <c r="AC153" s="211"/>
      <c r="AD153" s="66">
        <f t="shared" si="68"/>
        <v>0</v>
      </c>
      <c r="AE153" s="212"/>
      <c r="AF153" s="212"/>
      <c r="AG153" s="66">
        <f t="shared" si="69"/>
        <v>0</v>
      </c>
      <c r="AH153" s="66"/>
      <c r="AI153" s="66">
        <f t="shared" si="70"/>
        <v>0</v>
      </c>
      <c r="AJ153" s="210"/>
      <c r="AK153" s="66">
        <f t="shared" si="71"/>
        <v>0</v>
      </c>
      <c r="AL153" s="210"/>
      <c r="AM153" s="213"/>
      <c r="AN153" s="210"/>
      <c r="AO153" s="210"/>
      <c r="AP153" s="210"/>
      <c r="AQ153" s="66">
        <f t="shared" si="85"/>
        <v>10619.199999999999</v>
      </c>
      <c r="AR153" s="66">
        <f t="shared" si="86"/>
        <v>127.43039999999999</v>
      </c>
    </row>
    <row r="154" spans="1:44" s="204" customFormat="1" ht="15" customHeight="1">
      <c r="A154" s="51">
        <v>129</v>
      </c>
      <c r="B154" s="436" t="s">
        <v>565</v>
      </c>
      <c r="C154" s="217" t="s">
        <v>67</v>
      </c>
      <c r="D154" s="64" t="s">
        <v>50</v>
      </c>
      <c r="E154" s="51" t="s">
        <v>146</v>
      </c>
      <c r="F154" s="412">
        <v>14.11</v>
      </c>
      <c r="G154" s="214">
        <v>4.49</v>
      </c>
      <c r="H154" s="66">
        <v>17697</v>
      </c>
      <c r="I154" s="200">
        <v>2</v>
      </c>
      <c r="J154" s="66">
        <f t="shared" si="88"/>
        <v>158919.06</v>
      </c>
      <c r="K154" s="200">
        <f>(M154+O154+Q154)/16</f>
        <v>0.8125</v>
      </c>
      <c r="L154" s="200">
        <f t="shared" si="90"/>
        <v>13</v>
      </c>
      <c r="M154" s="51"/>
      <c r="N154" s="66">
        <f t="shared" si="87"/>
        <v>0</v>
      </c>
      <c r="O154" s="396">
        <v>13</v>
      </c>
      <c r="P154" s="66">
        <f t="shared" si="91"/>
        <v>129121.73625</v>
      </c>
      <c r="Q154" s="396"/>
      <c r="R154" s="66">
        <f t="shared" si="81"/>
        <v>0</v>
      </c>
      <c r="S154" s="201">
        <f t="shared" si="82"/>
        <v>32280.4340625</v>
      </c>
      <c r="T154" s="66">
        <f t="shared" si="83"/>
        <v>161402.17031250001</v>
      </c>
      <c r="U154" s="66">
        <f t="shared" si="92"/>
        <v>16140.217031250002</v>
      </c>
      <c r="V154" s="66">
        <f t="shared" si="84"/>
        <v>32280.434062500004</v>
      </c>
      <c r="W154" s="202"/>
      <c r="X154" s="66">
        <f t="shared" si="65"/>
        <v>0</v>
      </c>
      <c r="Y154" s="67"/>
      <c r="Z154" s="66">
        <f t="shared" si="66"/>
        <v>0</v>
      </c>
      <c r="AA154" s="67"/>
      <c r="AB154" s="66">
        <f t="shared" si="67"/>
        <v>0</v>
      </c>
      <c r="AC154" s="67">
        <v>13</v>
      </c>
      <c r="AD154" s="66">
        <f t="shared" si="68"/>
        <v>5751.5250000000005</v>
      </c>
      <c r="AE154" s="212"/>
      <c r="AF154" s="66"/>
      <c r="AG154" s="66">
        <f t="shared" si="69"/>
        <v>48420.651093749999</v>
      </c>
      <c r="AH154" s="66"/>
      <c r="AI154" s="66">
        <f t="shared" si="70"/>
        <v>0</v>
      </c>
      <c r="AJ154" s="203"/>
      <c r="AK154" s="66">
        <f t="shared" si="71"/>
        <v>0</v>
      </c>
      <c r="AL154" s="66"/>
      <c r="AM154" s="66"/>
      <c r="AN154" s="66"/>
      <c r="AO154" s="66"/>
      <c r="AP154" s="66"/>
      <c r="AQ154" s="66">
        <f t="shared" si="85"/>
        <v>264007.9975</v>
      </c>
      <c r="AR154" s="66">
        <f t="shared" si="86"/>
        <v>3168.0959699999999</v>
      </c>
    </row>
    <row r="155" spans="1:44" s="215" customFormat="1" ht="15" customHeight="1">
      <c r="A155" s="51">
        <v>130</v>
      </c>
      <c r="B155" s="143" t="s">
        <v>210</v>
      </c>
      <c r="C155" s="80" t="s">
        <v>158</v>
      </c>
      <c r="D155" s="64" t="s">
        <v>50</v>
      </c>
      <c r="E155" s="51" t="s">
        <v>146</v>
      </c>
      <c r="F155" s="414">
        <v>14.04</v>
      </c>
      <c r="G155" s="214">
        <v>4.49</v>
      </c>
      <c r="H155" s="66">
        <v>17697</v>
      </c>
      <c r="I155" s="200">
        <v>2</v>
      </c>
      <c r="J155" s="66">
        <f t="shared" si="88"/>
        <v>158919.06</v>
      </c>
      <c r="K155" s="200">
        <f>(M155+O155+Q155)/16</f>
        <v>0.125</v>
      </c>
      <c r="L155" s="200">
        <f t="shared" si="90"/>
        <v>2</v>
      </c>
      <c r="M155" s="210"/>
      <c r="N155" s="66">
        <f t="shared" si="87"/>
        <v>0</v>
      </c>
      <c r="O155" s="210">
        <v>2</v>
      </c>
      <c r="P155" s="66">
        <f t="shared" si="91"/>
        <v>19864.8825</v>
      </c>
      <c r="Q155" s="210"/>
      <c r="R155" s="66">
        <f t="shared" si="81"/>
        <v>0</v>
      </c>
      <c r="S155" s="201">
        <f t="shared" si="82"/>
        <v>4966.2206249999999</v>
      </c>
      <c r="T155" s="66">
        <f t="shared" si="83"/>
        <v>24831.103125000001</v>
      </c>
      <c r="U155" s="66">
        <f t="shared" si="92"/>
        <v>2483.1103125000004</v>
      </c>
      <c r="V155" s="66">
        <f t="shared" si="84"/>
        <v>4966.2206250000008</v>
      </c>
      <c r="W155" s="210"/>
      <c r="X155" s="66">
        <f t="shared" si="65"/>
        <v>0</v>
      </c>
      <c r="Y155" s="211"/>
      <c r="Z155" s="66">
        <f t="shared" si="66"/>
        <v>0</v>
      </c>
      <c r="AA155" s="210"/>
      <c r="AB155" s="66">
        <f t="shared" si="67"/>
        <v>0</v>
      </c>
      <c r="AC155" s="211"/>
      <c r="AD155" s="66">
        <f t="shared" si="68"/>
        <v>0</v>
      </c>
      <c r="AE155" s="212"/>
      <c r="AF155" s="212"/>
      <c r="AG155" s="66">
        <f t="shared" si="69"/>
        <v>7449.3309374999999</v>
      </c>
      <c r="AH155" s="66"/>
      <c r="AI155" s="66">
        <f t="shared" si="70"/>
        <v>0</v>
      </c>
      <c r="AJ155" s="210">
        <v>2</v>
      </c>
      <c r="AK155" s="66">
        <f t="shared" si="71"/>
        <v>884.85</v>
      </c>
      <c r="AL155" s="210"/>
      <c r="AM155" s="213"/>
      <c r="AN155" s="210"/>
      <c r="AO155" s="210"/>
      <c r="AP155" s="210"/>
      <c r="AQ155" s="66">
        <f t="shared" si="85"/>
        <v>40616.615000000005</v>
      </c>
      <c r="AR155" s="66">
        <f t="shared" si="86"/>
        <v>487.39938000000006</v>
      </c>
    </row>
    <row r="156" spans="1:44" s="215" customFormat="1" ht="15" customHeight="1">
      <c r="A156" s="51">
        <v>131</v>
      </c>
      <c r="B156" s="63" t="s">
        <v>568</v>
      </c>
      <c r="C156" s="80" t="s">
        <v>87</v>
      </c>
      <c r="D156" s="64" t="s">
        <v>50</v>
      </c>
      <c r="E156" s="51" t="s">
        <v>146</v>
      </c>
      <c r="F156" s="415">
        <v>8.1</v>
      </c>
      <c r="G156" s="214">
        <v>4.33</v>
      </c>
      <c r="H156" s="66">
        <v>17697</v>
      </c>
      <c r="I156" s="200">
        <v>2</v>
      </c>
      <c r="J156" s="66">
        <f t="shared" si="88"/>
        <v>153256.01999999999</v>
      </c>
      <c r="K156" s="200">
        <f>(M156+O156+Q156)/16</f>
        <v>0.25</v>
      </c>
      <c r="L156" s="200">
        <f t="shared" si="90"/>
        <v>4</v>
      </c>
      <c r="M156" s="210"/>
      <c r="N156" s="66">
        <f t="shared" si="87"/>
        <v>0</v>
      </c>
      <c r="O156" s="210">
        <v>4</v>
      </c>
      <c r="P156" s="66">
        <f t="shared" si="91"/>
        <v>38314.004999999997</v>
      </c>
      <c r="Q156" s="210"/>
      <c r="R156" s="66">
        <f t="shared" si="81"/>
        <v>0</v>
      </c>
      <c r="S156" s="201">
        <f t="shared" si="82"/>
        <v>9578.5012499999993</v>
      </c>
      <c r="T156" s="66">
        <f t="shared" si="83"/>
        <v>47892.506249999999</v>
      </c>
      <c r="U156" s="66">
        <f t="shared" si="92"/>
        <v>4789.2506249999997</v>
      </c>
      <c r="V156" s="66">
        <f t="shared" si="84"/>
        <v>9578.5012499999993</v>
      </c>
      <c r="W156" s="210"/>
      <c r="X156" s="66">
        <f t="shared" si="65"/>
        <v>0</v>
      </c>
      <c r="Y156" s="211"/>
      <c r="Z156" s="66">
        <f t="shared" si="66"/>
        <v>0</v>
      </c>
      <c r="AA156" s="210"/>
      <c r="AB156" s="66">
        <f t="shared" si="67"/>
        <v>0</v>
      </c>
      <c r="AC156" s="211"/>
      <c r="AD156" s="66">
        <f t="shared" si="68"/>
        <v>0</v>
      </c>
      <c r="AE156" s="212"/>
      <c r="AF156" s="212"/>
      <c r="AG156" s="66">
        <f t="shared" si="69"/>
        <v>14367.751875</v>
      </c>
      <c r="AH156" s="66"/>
      <c r="AI156" s="66">
        <f t="shared" si="70"/>
        <v>0</v>
      </c>
      <c r="AJ156" s="210">
        <v>4</v>
      </c>
      <c r="AK156" s="66">
        <f t="shared" si="71"/>
        <v>1769.7</v>
      </c>
      <c r="AL156" s="210"/>
      <c r="AM156" s="213"/>
      <c r="AN156" s="210"/>
      <c r="AO156" s="210"/>
      <c r="AP156" s="210"/>
      <c r="AQ156" s="66">
        <f t="shared" si="85"/>
        <v>78401.709999999992</v>
      </c>
      <c r="AR156" s="66">
        <f t="shared" si="86"/>
        <v>940.82051999999987</v>
      </c>
    </row>
    <row r="157" spans="1:44" s="215" customFormat="1" ht="15" customHeight="1">
      <c r="A157" s="51">
        <v>132</v>
      </c>
      <c r="B157" s="63" t="s">
        <v>465</v>
      </c>
      <c r="C157" s="80" t="s">
        <v>158</v>
      </c>
      <c r="D157" s="64" t="s">
        <v>50</v>
      </c>
      <c r="E157" s="421" t="s">
        <v>146</v>
      </c>
      <c r="F157" s="415">
        <v>8.1</v>
      </c>
      <c r="G157" s="214">
        <v>4.33</v>
      </c>
      <c r="H157" s="66">
        <v>17697</v>
      </c>
      <c r="I157" s="200">
        <v>2</v>
      </c>
      <c r="J157" s="66">
        <f t="shared" si="88"/>
        <v>153256.01999999999</v>
      </c>
      <c r="K157" s="200">
        <f>(M157+O157+Q157)/16</f>
        <v>0.75</v>
      </c>
      <c r="L157" s="200">
        <f t="shared" si="90"/>
        <v>12</v>
      </c>
      <c r="M157" s="210"/>
      <c r="N157" s="66">
        <f t="shared" si="87"/>
        <v>0</v>
      </c>
      <c r="O157" s="210">
        <v>10</v>
      </c>
      <c r="P157" s="66">
        <f t="shared" si="91"/>
        <v>95785.012499999997</v>
      </c>
      <c r="Q157" s="210">
        <v>2</v>
      </c>
      <c r="R157" s="66">
        <f t="shared" si="81"/>
        <v>19157.002499999999</v>
      </c>
      <c r="S157" s="201">
        <f t="shared" si="82"/>
        <v>28735.50375</v>
      </c>
      <c r="T157" s="66">
        <f t="shared" si="83"/>
        <v>143677.51874999999</v>
      </c>
      <c r="U157" s="66">
        <f t="shared" si="92"/>
        <v>14367.751875</v>
      </c>
      <c r="V157" s="66">
        <f t="shared" si="84"/>
        <v>28735.50375</v>
      </c>
      <c r="W157" s="210"/>
      <c r="X157" s="66">
        <f t="shared" si="65"/>
        <v>0</v>
      </c>
      <c r="Y157" s="211"/>
      <c r="Z157" s="66">
        <f t="shared" si="66"/>
        <v>0</v>
      </c>
      <c r="AA157" s="210"/>
      <c r="AB157" s="66">
        <f t="shared" si="67"/>
        <v>0</v>
      </c>
      <c r="AC157" s="211"/>
      <c r="AD157" s="66">
        <f t="shared" si="68"/>
        <v>0</v>
      </c>
      <c r="AE157" s="212"/>
      <c r="AF157" s="212"/>
      <c r="AG157" s="66">
        <f t="shared" si="69"/>
        <v>43103.255624999998</v>
      </c>
      <c r="AH157" s="66"/>
      <c r="AI157" s="66">
        <f t="shared" si="70"/>
        <v>0</v>
      </c>
      <c r="AJ157" s="210">
        <v>10</v>
      </c>
      <c r="AK157" s="66">
        <f t="shared" si="71"/>
        <v>4424.25</v>
      </c>
      <c r="AL157" s="210"/>
      <c r="AM157" s="213"/>
      <c r="AN157" s="210"/>
      <c r="AO157" s="210"/>
      <c r="AP157" s="210"/>
      <c r="AQ157" s="66">
        <f t="shared" si="85"/>
        <v>234318.27999999997</v>
      </c>
      <c r="AR157" s="66">
        <f t="shared" si="86"/>
        <v>2811.8193599999995</v>
      </c>
    </row>
    <row r="158" spans="1:44" s="215" customFormat="1" ht="15" customHeight="1">
      <c r="A158" s="51">
        <v>133</v>
      </c>
      <c r="B158" s="216" t="s">
        <v>465</v>
      </c>
      <c r="C158" s="217" t="s">
        <v>57</v>
      </c>
      <c r="D158" s="64" t="s">
        <v>50</v>
      </c>
      <c r="E158" s="51" t="s">
        <v>146</v>
      </c>
      <c r="F158" s="408" t="s">
        <v>561</v>
      </c>
      <c r="G158" s="214">
        <v>4.0999999999999996</v>
      </c>
      <c r="H158" s="66">
        <v>17697</v>
      </c>
      <c r="I158" s="200">
        <v>2</v>
      </c>
      <c r="J158" s="66">
        <f t="shared" si="88"/>
        <v>145115.4</v>
      </c>
      <c r="K158" s="200">
        <f>(M158+O158+Q158)/16</f>
        <v>1</v>
      </c>
      <c r="L158" s="200">
        <f t="shared" si="90"/>
        <v>16</v>
      </c>
      <c r="M158" s="210"/>
      <c r="N158" s="66">
        <f t="shared" si="87"/>
        <v>0</v>
      </c>
      <c r="O158" s="210">
        <v>16</v>
      </c>
      <c r="P158" s="66">
        <f t="shared" si="91"/>
        <v>145115.4</v>
      </c>
      <c r="Q158" s="210"/>
      <c r="R158" s="66">
        <f t="shared" si="81"/>
        <v>0</v>
      </c>
      <c r="S158" s="201">
        <f t="shared" si="82"/>
        <v>36278.85</v>
      </c>
      <c r="T158" s="66">
        <f t="shared" si="83"/>
        <v>181394.25</v>
      </c>
      <c r="U158" s="66">
        <f t="shared" si="92"/>
        <v>18139.424999999999</v>
      </c>
      <c r="V158" s="66">
        <f t="shared" si="84"/>
        <v>36278.85</v>
      </c>
      <c r="W158" s="210"/>
      <c r="X158" s="66">
        <f t="shared" si="65"/>
        <v>0</v>
      </c>
      <c r="Y158" s="211"/>
      <c r="Z158" s="66">
        <f t="shared" si="66"/>
        <v>0</v>
      </c>
      <c r="AA158" s="210"/>
      <c r="AB158" s="66">
        <f t="shared" si="67"/>
        <v>0</v>
      </c>
      <c r="AC158" s="211"/>
      <c r="AD158" s="66">
        <f t="shared" si="68"/>
        <v>0</v>
      </c>
      <c r="AE158" s="212"/>
      <c r="AF158" s="212"/>
      <c r="AG158" s="66">
        <f t="shared" si="69"/>
        <v>54418.275000000001</v>
      </c>
      <c r="AH158" s="66"/>
      <c r="AI158" s="66">
        <f t="shared" si="70"/>
        <v>0</v>
      </c>
      <c r="AJ158" s="210">
        <v>1</v>
      </c>
      <c r="AK158" s="66">
        <f t="shared" si="71"/>
        <v>442.42500000000001</v>
      </c>
      <c r="AL158" s="210"/>
      <c r="AM158" s="213"/>
      <c r="AN158" s="210"/>
      <c r="AO158" s="210"/>
      <c r="AP158" s="210"/>
      <c r="AQ158" s="66">
        <f t="shared" si="85"/>
        <v>290674.22499999998</v>
      </c>
      <c r="AR158" s="66">
        <f t="shared" si="86"/>
        <v>3488.0906999999997</v>
      </c>
    </row>
    <row r="159" spans="1:44" s="76" customFormat="1" ht="15" customHeight="1">
      <c r="A159" s="259"/>
      <c r="B159" s="70" t="s">
        <v>146</v>
      </c>
      <c r="C159" s="70"/>
      <c r="D159" s="70"/>
      <c r="E159" s="70"/>
      <c r="F159" s="71"/>
      <c r="G159" s="72"/>
      <c r="H159" s="73"/>
      <c r="I159" s="74"/>
      <c r="J159" s="75">
        <f>SUM(J131:J158)</f>
        <v>4366911.7200000007</v>
      </c>
      <c r="K159" s="75">
        <f t="shared" ref="K159:AQ159" si="93">SUM(K131:K158)</f>
        <v>22.625</v>
      </c>
      <c r="L159" s="75">
        <f t="shared" si="93"/>
        <v>362</v>
      </c>
      <c r="M159" s="75">
        <f t="shared" si="93"/>
        <v>102</v>
      </c>
      <c r="N159" s="75">
        <f t="shared" si="93"/>
        <v>994372.30874999997</v>
      </c>
      <c r="O159" s="75">
        <f t="shared" si="93"/>
        <v>218</v>
      </c>
      <c r="P159" s="75">
        <f t="shared" si="93"/>
        <v>2131293.9525000001</v>
      </c>
      <c r="Q159" s="75">
        <f t="shared" si="93"/>
        <v>42</v>
      </c>
      <c r="R159" s="75">
        <f t="shared" si="93"/>
        <v>417405.86624999996</v>
      </c>
      <c r="S159" s="75">
        <f t="shared" si="93"/>
        <v>885768.03187499987</v>
      </c>
      <c r="T159" s="75">
        <f t="shared" si="93"/>
        <v>4428840.1593749998</v>
      </c>
      <c r="U159" s="75">
        <f t="shared" si="93"/>
        <v>442884.01593749999</v>
      </c>
      <c r="V159" s="75">
        <f t="shared" si="93"/>
        <v>885768.03187499999</v>
      </c>
      <c r="W159" s="75">
        <f t="shared" si="93"/>
        <v>1</v>
      </c>
      <c r="X159" s="75">
        <f t="shared" si="93"/>
        <v>8848.5</v>
      </c>
      <c r="Y159" s="75">
        <f t="shared" si="93"/>
        <v>7</v>
      </c>
      <c r="Z159" s="75">
        <f t="shared" si="93"/>
        <v>74327.399999999994</v>
      </c>
      <c r="AA159" s="75">
        <f t="shared" si="93"/>
        <v>139</v>
      </c>
      <c r="AB159" s="75">
        <f t="shared" si="93"/>
        <v>61497.075000000004</v>
      </c>
      <c r="AC159" s="75">
        <f t="shared" si="93"/>
        <v>65</v>
      </c>
      <c r="AD159" s="75">
        <f t="shared" si="93"/>
        <v>28757.625</v>
      </c>
      <c r="AE159" s="75">
        <f t="shared" si="93"/>
        <v>0</v>
      </c>
      <c r="AF159" s="75">
        <f t="shared" si="93"/>
        <v>0</v>
      </c>
      <c r="AG159" s="75">
        <f t="shared" si="93"/>
        <v>1328652.0478125003</v>
      </c>
      <c r="AH159" s="75">
        <f t="shared" si="93"/>
        <v>0</v>
      </c>
      <c r="AI159" s="75">
        <f t="shared" si="93"/>
        <v>0</v>
      </c>
      <c r="AJ159" s="75">
        <f t="shared" si="93"/>
        <v>84</v>
      </c>
      <c r="AK159" s="75">
        <f t="shared" si="93"/>
        <v>37163.700000000004</v>
      </c>
      <c r="AL159" s="75">
        <f t="shared" si="93"/>
        <v>0</v>
      </c>
      <c r="AM159" s="75">
        <f t="shared" si="93"/>
        <v>0</v>
      </c>
      <c r="AN159" s="75">
        <f t="shared" si="93"/>
        <v>0</v>
      </c>
      <c r="AO159" s="75">
        <f t="shared" si="93"/>
        <v>0</v>
      </c>
      <c r="AP159" s="75">
        <f t="shared" si="93"/>
        <v>0</v>
      </c>
      <c r="AQ159" s="75">
        <f t="shared" si="93"/>
        <v>7297034.5549999997</v>
      </c>
      <c r="AR159" s="75">
        <f>SUM(AR131:AR158)</f>
        <v>87564.41465999998</v>
      </c>
    </row>
    <row r="160" spans="1:44">
      <c r="A160" s="82"/>
      <c r="H160" s="84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</row>
    <row r="161" spans="1:44">
      <c r="A161" s="82"/>
      <c r="H161" s="84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</row>
    <row r="162" spans="1:44">
      <c r="A162" s="82"/>
      <c r="H162" s="84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</row>
    <row r="163" spans="1:44" ht="22.5" customHeight="1">
      <c r="A163" s="82"/>
      <c r="B163" s="575" t="s">
        <v>507</v>
      </c>
      <c r="C163" s="575"/>
      <c r="D163" s="575"/>
      <c r="E163" s="575"/>
      <c r="F163" s="575"/>
      <c r="I163" s="592" t="s">
        <v>381</v>
      </c>
      <c r="J163" s="533"/>
      <c r="K163" s="533"/>
      <c r="L163" s="533"/>
      <c r="M163" s="533"/>
      <c r="N163" s="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</row>
    <row r="164" spans="1:44">
      <c r="A164" s="82"/>
      <c r="B164" s="187"/>
      <c r="C164" s="43"/>
      <c r="F164" s="82"/>
      <c r="K164" s="186"/>
      <c r="L164" s="186"/>
      <c r="M164" s="2"/>
      <c r="N164" s="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</row>
    <row r="165" spans="1:44" ht="25.5" customHeight="1">
      <c r="A165" s="82"/>
      <c r="B165" s="576"/>
      <c r="C165" s="576"/>
      <c r="D165" s="576"/>
      <c r="E165" s="576"/>
      <c r="F165" s="576"/>
      <c r="G165" s="576"/>
      <c r="K165" s="573"/>
      <c r="L165" s="573"/>
      <c r="M165" s="574"/>
      <c r="N165" s="574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  <c r="AQ165" s="82"/>
      <c r="AR165" s="82"/>
    </row>
  </sheetData>
  <mergeCells count="42">
    <mergeCell ref="I163:M163"/>
    <mergeCell ref="AC2:AE2"/>
    <mergeCell ref="AC3:AI3"/>
    <mergeCell ref="K18:K20"/>
    <mergeCell ref="M18:R19"/>
    <mergeCell ref="S18:S20"/>
    <mergeCell ref="T18:T20"/>
    <mergeCell ref="U18:U20"/>
    <mergeCell ref="A18:A20"/>
    <mergeCell ref="B18:B20"/>
    <mergeCell ref="C18:C20"/>
    <mergeCell ref="D18:D20"/>
    <mergeCell ref="E18:E20"/>
    <mergeCell ref="F18:F20"/>
    <mergeCell ref="Y19:Z19"/>
    <mergeCell ref="W18:Z18"/>
    <mergeCell ref="W19:X19"/>
    <mergeCell ref="AM19:AM20"/>
    <mergeCell ref="AN19:AN20"/>
    <mergeCell ref="AO19:AO20"/>
    <mergeCell ref="AA18:AD19"/>
    <mergeCell ref="AE18:AE20"/>
    <mergeCell ref="AF18:AF20"/>
    <mergeCell ref="AG18:AG20"/>
    <mergeCell ref="AH18:AI19"/>
    <mergeCell ref="AJ18:AK19"/>
    <mergeCell ref="K165:N165"/>
    <mergeCell ref="B163:F163"/>
    <mergeCell ref="B165:G165"/>
    <mergeCell ref="AC5:AG5"/>
    <mergeCell ref="AL18:AL20"/>
    <mergeCell ref="G18:G20"/>
    <mergeCell ref="H18:H20"/>
    <mergeCell ref="I18:I20"/>
    <mergeCell ref="J18:J20"/>
    <mergeCell ref="V18:V20"/>
    <mergeCell ref="A16:AR16"/>
    <mergeCell ref="AJ17:AQ17"/>
    <mergeCell ref="AM18:AP18"/>
    <mergeCell ref="AQ18:AQ20"/>
    <mergeCell ref="AR18:AR20"/>
    <mergeCell ref="AP19:AP20"/>
  </mergeCells>
  <pageMargins left="0.19685039370078741" right="0.19685039370078741" top="0.19685039370078741" bottom="0.19685039370078741" header="0" footer="0"/>
  <pageSetup paperSize="9" scale="75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79"/>
  <sheetViews>
    <sheetView topLeftCell="A10" workbookViewId="0">
      <selection activeCell="F29" sqref="F29"/>
    </sheetView>
  </sheetViews>
  <sheetFormatPr defaultRowHeight="12.75"/>
  <cols>
    <col min="1" max="1" width="4.140625" customWidth="1"/>
    <col min="2" max="2" width="59.85546875" customWidth="1"/>
    <col min="3" max="3" width="11.28515625" customWidth="1"/>
    <col min="4" max="4" width="14.28515625" customWidth="1"/>
    <col min="6" max="6" width="10.7109375" customWidth="1"/>
  </cols>
  <sheetData>
    <row r="2" spans="1:13" ht="15.75">
      <c r="B2" s="270" t="s">
        <v>858</v>
      </c>
      <c r="C2" s="271"/>
      <c r="D2" s="271"/>
      <c r="E2" s="265"/>
      <c r="F2" s="265"/>
      <c r="G2" s="265"/>
      <c r="H2" s="265"/>
      <c r="I2" s="265"/>
      <c r="J2" s="265"/>
      <c r="K2" s="265"/>
      <c r="L2" s="266"/>
      <c r="M2" s="266"/>
    </row>
    <row r="3" spans="1:13" ht="15.75">
      <c r="B3" s="270" t="s">
        <v>859</v>
      </c>
      <c r="C3" s="271"/>
      <c r="D3" s="271"/>
      <c r="E3" s="265"/>
      <c r="F3" s="265"/>
      <c r="G3" s="265"/>
      <c r="H3" s="265"/>
      <c r="I3" s="265"/>
      <c r="J3" s="265"/>
      <c r="K3" s="265"/>
      <c r="L3" s="266"/>
      <c r="M3" s="266"/>
    </row>
    <row r="4" spans="1:13" ht="15.75">
      <c r="B4" s="270" t="s">
        <v>857</v>
      </c>
      <c r="C4" s="271"/>
      <c r="D4" s="271"/>
      <c r="E4" s="265"/>
      <c r="F4" s="265"/>
      <c r="G4" s="265"/>
      <c r="H4" s="265"/>
      <c r="I4" s="265"/>
      <c r="J4" s="265"/>
      <c r="K4" s="265"/>
      <c r="L4" s="266"/>
      <c r="M4" s="266"/>
    </row>
    <row r="6" spans="1:13" ht="60" customHeight="1">
      <c r="A6" s="115" t="s">
        <v>10</v>
      </c>
      <c r="B6" s="115" t="s">
        <v>179</v>
      </c>
      <c r="C6" s="116" t="s">
        <v>577</v>
      </c>
      <c r="D6" s="268" t="s">
        <v>578</v>
      </c>
    </row>
    <row r="7" spans="1:13" ht="13.5" customHeight="1">
      <c r="A7" s="118">
        <v>1</v>
      </c>
      <c r="B7" s="118">
        <v>2</v>
      </c>
      <c r="C7" s="118">
        <v>3</v>
      </c>
      <c r="D7" s="269">
        <v>4</v>
      </c>
    </row>
    <row r="8" spans="1:13" s="332" customFormat="1" ht="13.5" customHeight="1">
      <c r="A8" s="127">
        <v>1</v>
      </c>
      <c r="B8" s="345" t="s">
        <v>193</v>
      </c>
      <c r="C8" s="240">
        <v>1</v>
      </c>
      <c r="D8" s="240">
        <v>1</v>
      </c>
    </row>
    <row r="9" spans="1:13" s="332" customFormat="1" ht="13.5" customHeight="1">
      <c r="A9" s="127">
        <v>2</v>
      </c>
      <c r="B9" s="346" t="s">
        <v>343</v>
      </c>
      <c r="C9" s="240">
        <v>3</v>
      </c>
      <c r="D9" s="240">
        <v>3</v>
      </c>
    </row>
    <row r="10" spans="1:13" s="332" customFormat="1" ht="13.5" customHeight="1">
      <c r="A10" s="127">
        <v>3</v>
      </c>
      <c r="B10" s="346" t="s">
        <v>344</v>
      </c>
      <c r="C10" s="240">
        <v>2</v>
      </c>
      <c r="D10" s="240">
        <v>2</v>
      </c>
    </row>
    <row r="11" spans="1:13" s="332" customFormat="1" ht="13.5" customHeight="1">
      <c r="A11" s="127">
        <v>5</v>
      </c>
      <c r="B11" s="346" t="s">
        <v>424</v>
      </c>
      <c r="C11" s="240">
        <v>1</v>
      </c>
      <c r="D11" s="240">
        <v>1</v>
      </c>
    </row>
    <row r="12" spans="1:13" s="332" customFormat="1" ht="13.5" customHeight="1">
      <c r="A12" s="127">
        <v>6</v>
      </c>
      <c r="B12" s="346" t="s">
        <v>425</v>
      </c>
      <c r="C12" s="240">
        <v>1</v>
      </c>
      <c r="D12" s="240">
        <v>1</v>
      </c>
    </row>
    <row r="13" spans="1:13" s="332" customFormat="1" ht="13.5" customHeight="1">
      <c r="A13" s="127">
        <v>7</v>
      </c>
      <c r="B13" s="347" t="s">
        <v>351</v>
      </c>
      <c r="C13" s="240">
        <v>1</v>
      </c>
      <c r="D13" s="240">
        <v>1</v>
      </c>
    </row>
    <row r="14" spans="1:13" s="332" customFormat="1" ht="13.5" customHeight="1">
      <c r="A14" s="127">
        <v>8</v>
      </c>
      <c r="B14" s="179" t="s">
        <v>403</v>
      </c>
      <c r="C14" s="240">
        <v>1</v>
      </c>
      <c r="D14" s="240">
        <v>1</v>
      </c>
    </row>
    <row r="15" spans="1:13" s="332" customFormat="1" ht="13.5" customHeight="1">
      <c r="A15" s="127">
        <v>9</v>
      </c>
      <c r="B15" s="183" t="s">
        <v>404</v>
      </c>
      <c r="C15" s="240">
        <v>3</v>
      </c>
      <c r="D15" s="240">
        <v>3</v>
      </c>
    </row>
    <row r="16" spans="1:13" s="332" customFormat="1" ht="13.5" customHeight="1">
      <c r="A16" s="127">
        <v>10</v>
      </c>
      <c r="B16" s="183" t="s">
        <v>426</v>
      </c>
      <c r="C16" s="240">
        <v>2</v>
      </c>
      <c r="D16" s="240">
        <v>2</v>
      </c>
    </row>
    <row r="17" spans="1:4" s="332" customFormat="1" ht="13.5" customHeight="1">
      <c r="A17" s="127">
        <v>11.4166666666667</v>
      </c>
      <c r="B17" s="183" t="s">
        <v>427</v>
      </c>
      <c r="C17" s="240">
        <v>1</v>
      </c>
      <c r="D17" s="240">
        <v>1</v>
      </c>
    </row>
    <row r="18" spans="1:4" s="332" customFormat="1" ht="13.5" customHeight="1">
      <c r="A18" s="127">
        <v>12.5666666666667</v>
      </c>
      <c r="B18" s="183" t="s">
        <v>405</v>
      </c>
      <c r="C18" s="240">
        <v>1</v>
      </c>
      <c r="D18" s="240">
        <v>1</v>
      </c>
    </row>
    <row r="19" spans="1:4" s="332" customFormat="1" ht="13.5" customHeight="1">
      <c r="A19" s="127">
        <v>13.716666666666701</v>
      </c>
      <c r="B19" s="183" t="s">
        <v>422</v>
      </c>
      <c r="C19" s="240">
        <v>1</v>
      </c>
      <c r="D19" s="240">
        <v>1</v>
      </c>
    </row>
    <row r="20" spans="1:4" s="332" customFormat="1" ht="13.5" customHeight="1">
      <c r="A20" s="127">
        <v>14.866666666666699</v>
      </c>
      <c r="B20" s="183" t="s">
        <v>406</v>
      </c>
      <c r="C20" s="240">
        <v>4</v>
      </c>
      <c r="D20" s="240">
        <v>4</v>
      </c>
    </row>
    <row r="21" spans="1:4" s="332" customFormat="1" ht="13.5" customHeight="1">
      <c r="A21" s="127">
        <v>16.016666666666701</v>
      </c>
      <c r="B21" s="348" t="s">
        <v>428</v>
      </c>
      <c r="C21" s="349">
        <v>5</v>
      </c>
      <c r="D21" s="349">
        <v>5</v>
      </c>
    </row>
    <row r="22" spans="1:4" s="332" customFormat="1" ht="13.5" customHeight="1">
      <c r="A22" s="127">
        <v>17.1666666666667</v>
      </c>
      <c r="B22" s="348" t="s">
        <v>408</v>
      </c>
      <c r="C22" s="350">
        <v>6.75</v>
      </c>
      <c r="D22" s="349">
        <v>6.75</v>
      </c>
    </row>
    <row r="23" spans="1:4" s="332" customFormat="1" ht="13.5" customHeight="1">
      <c r="A23" s="127">
        <v>18.316666666666698</v>
      </c>
      <c r="B23" s="182" t="s">
        <v>410</v>
      </c>
      <c r="C23" s="349">
        <v>2</v>
      </c>
      <c r="D23" s="349">
        <v>2</v>
      </c>
    </row>
    <row r="24" spans="1:4" s="332" customFormat="1" ht="13.5" customHeight="1">
      <c r="A24" s="127">
        <v>19.466666666666701</v>
      </c>
      <c r="B24" s="182" t="s">
        <v>411</v>
      </c>
      <c r="C24" s="349">
        <v>1</v>
      </c>
      <c r="D24" s="349">
        <v>1</v>
      </c>
    </row>
    <row r="25" spans="1:4" s="332" customFormat="1" ht="13.5" customHeight="1">
      <c r="A25" s="127">
        <v>20.616666666666699</v>
      </c>
      <c r="B25" s="183" t="s">
        <v>412</v>
      </c>
      <c r="C25" s="351">
        <v>17.5</v>
      </c>
      <c r="D25" s="349">
        <v>17.5</v>
      </c>
    </row>
    <row r="26" spans="1:4" s="332" customFormat="1" ht="13.5" customHeight="1">
      <c r="A26" s="127">
        <v>21.766666666666701</v>
      </c>
      <c r="B26" s="183" t="s">
        <v>243</v>
      </c>
      <c r="C26" s="349">
        <v>1</v>
      </c>
      <c r="D26" s="349">
        <v>1</v>
      </c>
    </row>
    <row r="27" spans="1:4" s="332" customFormat="1" ht="13.5" customHeight="1">
      <c r="A27" s="127">
        <v>22.9166666666667</v>
      </c>
      <c r="B27" s="183" t="s">
        <v>430</v>
      </c>
      <c r="C27" s="349">
        <v>1</v>
      </c>
      <c r="D27" s="349">
        <v>1</v>
      </c>
    </row>
    <row r="28" spans="1:4" s="332" customFormat="1" ht="13.5" customHeight="1">
      <c r="A28" s="127">
        <v>24.066666666666698</v>
      </c>
      <c r="B28" s="183" t="s">
        <v>429</v>
      </c>
      <c r="C28" s="349">
        <v>2</v>
      </c>
      <c r="D28" s="349">
        <v>2</v>
      </c>
    </row>
    <row r="29" spans="1:4" s="332" customFormat="1" ht="13.5" customHeight="1">
      <c r="A29" s="127">
        <v>25.216666666666701</v>
      </c>
      <c r="B29" s="183" t="s">
        <v>247</v>
      </c>
      <c r="C29" s="349">
        <v>1</v>
      </c>
      <c r="D29" s="349">
        <v>1</v>
      </c>
    </row>
    <row r="30" spans="1:4" s="332" customFormat="1" ht="13.5" customHeight="1">
      <c r="A30" s="127">
        <v>26.366666666666699</v>
      </c>
      <c r="B30" s="352" t="s">
        <v>431</v>
      </c>
      <c r="C30" s="353">
        <v>1</v>
      </c>
      <c r="D30" s="353">
        <v>1</v>
      </c>
    </row>
    <row r="31" spans="1:4" s="332" customFormat="1" ht="13.5" customHeight="1">
      <c r="A31" s="127">
        <v>27.516666666666701</v>
      </c>
      <c r="B31" s="352" t="s">
        <v>432</v>
      </c>
      <c r="C31" s="353">
        <v>0.5</v>
      </c>
      <c r="D31" s="353">
        <v>1</v>
      </c>
    </row>
    <row r="32" spans="1:4" s="332" customFormat="1" ht="13.5" customHeight="1">
      <c r="A32" s="127">
        <v>28.6666666666667</v>
      </c>
      <c r="B32" s="352" t="s">
        <v>433</v>
      </c>
      <c r="C32" s="353">
        <v>2</v>
      </c>
      <c r="D32" s="353">
        <v>2</v>
      </c>
    </row>
    <row r="33" spans="1:4" s="332" customFormat="1" ht="13.5" customHeight="1">
      <c r="A33" s="127">
        <v>29.816666666666698</v>
      </c>
      <c r="B33" s="352" t="s">
        <v>414</v>
      </c>
      <c r="C33" s="353">
        <v>1</v>
      </c>
      <c r="D33" s="353">
        <v>1</v>
      </c>
    </row>
    <row r="34" spans="1:4" s="332" customFormat="1" ht="13.5" customHeight="1">
      <c r="A34" s="127">
        <v>30.966666666666701</v>
      </c>
      <c r="B34" s="169" t="s">
        <v>416</v>
      </c>
      <c r="C34" s="353">
        <v>3</v>
      </c>
      <c r="D34" s="353">
        <v>3</v>
      </c>
    </row>
    <row r="35" spans="1:4" s="332" customFormat="1" ht="13.5" customHeight="1">
      <c r="A35" s="127">
        <v>32.116666666666703</v>
      </c>
      <c r="B35" s="179" t="s">
        <v>417</v>
      </c>
      <c r="C35" s="353">
        <v>2</v>
      </c>
      <c r="D35" s="353">
        <v>2</v>
      </c>
    </row>
    <row r="36" spans="1:4" s="332" customFormat="1" ht="13.5" customHeight="1">
      <c r="A36" s="127">
        <v>33.266666666666701</v>
      </c>
      <c r="B36" s="179" t="s">
        <v>765</v>
      </c>
      <c r="C36" s="353">
        <v>1</v>
      </c>
      <c r="D36" s="353">
        <v>1</v>
      </c>
    </row>
    <row r="37" spans="1:4" s="332" customFormat="1" ht="13.5" customHeight="1">
      <c r="A37" s="127">
        <v>34.4166666666667</v>
      </c>
      <c r="B37" s="179" t="s">
        <v>291</v>
      </c>
      <c r="C37" s="353">
        <v>2</v>
      </c>
      <c r="D37" s="353">
        <v>2</v>
      </c>
    </row>
    <row r="38" spans="1:4" s="332" customFormat="1" ht="13.5" customHeight="1">
      <c r="A38" s="127">
        <v>35.566666666666698</v>
      </c>
      <c r="B38" s="179" t="s">
        <v>289</v>
      </c>
      <c r="C38" s="353">
        <v>2</v>
      </c>
      <c r="D38" s="353">
        <v>2</v>
      </c>
    </row>
    <row r="39" spans="1:4" s="332" customFormat="1" ht="13.5" customHeight="1">
      <c r="A39" s="127">
        <v>36.716666666666697</v>
      </c>
      <c r="B39" s="229" t="s">
        <v>441</v>
      </c>
      <c r="C39" s="353">
        <v>1</v>
      </c>
      <c r="D39" s="353">
        <v>1</v>
      </c>
    </row>
    <row r="40" spans="1:4" s="332" customFormat="1" ht="13.5" customHeight="1">
      <c r="A40" s="127">
        <v>37.866666666666703</v>
      </c>
      <c r="B40" s="179" t="s">
        <v>434</v>
      </c>
      <c r="C40" s="353">
        <v>1.5</v>
      </c>
      <c r="D40" s="353">
        <v>1</v>
      </c>
    </row>
    <row r="41" spans="1:4" s="332" customFormat="1" ht="13.5" customHeight="1">
      <c r="A41" s="127">
        <v>39.016666666666701</v>
      </c>
      <c r="B41" s="179" t="s">
        <v>435</v>
      </c>
      <c r="C41" s="353">
        <v>0.5</v>
      </c>
      <c r="D41" s="353">
        <v>1</v>
      </c>
    </row>
    <row r="42" spans="1:4" s="332" customFormat="1" ht="13.5" customHeight="1">
      <c r="A42" s="127">
        <v>40.1666666666667</v>
      </c>
      <c r="B42" s="354" t="s">
        <v>440</v>
      </c>
      <c r="C42" s="353">
        <v>1.5</v>
      </c>
      <c r="D42" s="353">
        <v>1</v>
      </c>
    </row>
    <row r="43" spans="1:4" s="332" customFormat="1" ht="13.5" customHeight="1">
      <c r="A43" s="127">
        <v>41.316666666666698</v>
      </c>
      <c r="B43" s="169" t="s">
        <v>439</v>
      </c>
      <c r="C43" s="353">
        <v>0.5</v>
      </c>
      <c r="D43" s="353">
        <v>1</v>
      </c>
    </row>
    <row r="44" spans="1:4" s="332" customFormat="1" ht="13.5" customHeight="1">
      <c r="A44" s="127">
        <v>42.466666666666697</v>
      </c>
      <c r="B44" s="179" t="s">
        <v>293</v>
      </c>
      <c r="C44" s="353">
        <v>2</v>
      </c>
      <c r="D44" s="353">
        <v>2</v>
      </c>
    </row>
    <row r="45" spans="1:4" s="332" customFormat="1" ht="13.5" customHeight="1">
      <c r="A45" s="127">
        <v>43.616666666666703</v>
      </c>
      <c r="B45" s="169" t="s">
        <v>418</v>
      </c>
      <c r="C45" s="353">
        <v>24</v>
      </c>
      <c r="D45" s="353">
        <v>24</v>
      </c>
    </row>
    <row r="46" spans="1:4" s="332" customFormat="1" ht="13.5" customHeight="1">
      <c r="A46" s="127">
        <v>44.766666666666701</v>
      </c>
      <c r="B46" s="354" t="s">
        <v>330</v>
      </c>
      <c r="C46" s="353">
        <v>6</v>
      </c>
      <c r="D46" s="353">
        <v>6</v>
      </c>
    </row>
    <row r="47" spans="1:4" s="332" customFormat="1" ht="13.5" customHeight="1">
      <c r="A47" s="127">
        <v>45.9166666666667</v>
      </c>
      <c r="B47" s="179" t="s">
        <v>436</v>
      </c>
      <c r="C47" s="353">
        <v>1</v>
      </c>
      <c r="D47" s="353">
        <v>1</v>
      </c>
    </row>
    <row r="48" spans="1:4" s="332" customFormat="1" ht="13.5" customHeight="1">
      <c r="A48" s="127">
        <v>47.066666666666698</v>
      </c>
      <c r="B48" s="179" t="s">
        <v>296</v>
      </c>
      <c r="C48" s="353">
        <v>4</v>
      </c>
      <c r="D48" s="353">
        <v>4</v>
      </c>
    </row>
    <row r="49" spans="1:13" s="332" customFormat="1" ht="14.25" customHeight="1">
      <c r="A49" s="499"/>
      <c r="B49" s="500" t="s">
        <v>373</v>
      </c>
      <c r="C49" s="501">
        <f>SUM(C8:C48)</f>
        <v>115.75</v>
      </c>
      <c r="D49" s="502">
        <f>SUM(D8:D48)</f>
        <v>116.25</v>
      </c>
    </row>
    <row r="50" spans="1:13" s="332" customFormat="1" ht="14.25" customHeight="1">
      <c r="A50" s="440"/>
      <c r="B50" s="441"/>
      <c r="C50" s="442"/>
      <c r="D50" s="443"/>
    </row>
    <row r="51" spans="1:13" s="332" customFormat="1" ht="14.25" customHeight="1">
      <c r="A51" s="440"/>
      <c r="B51" s="441" t="s">
        <v>862</v>
      </c>
      <c r="C51" s="442"/>
      <c r="D51" s="443"/>
    </row>
    <row r="52" spans="1:13" s="332" customFormat="1" ht="14.25" customHeight="1">
      <c r="A52" s="440"/>
      <c r="B52" s="441"/>
      <c r="C52" s="442"/>
      <c r="D52" s="443"/>
    </row>
    <row r="53" spans="1:13" s="332" customFormat="1" ht="14.25" customHeight="1">
      <c r="A53" s="440"/>
      <c r="B53" s="441"/>
      <c r="C53" s="442"/>
      <c r="D53" s="443"/>
    </row>
    <row r="54" spans="1:13" s="332" customFormat="1"/>
    <row r="55" spans="1:13" ht="15.75">
      <c r="B55" s="270" t="s">
        <v>860</v>
      </c>
      <c r="C55" s="271"/>
      <c r="D55" s="271"/>
      <c r="E55" s="265"/>
      <c r="F55" s="265"/>
      <c r="G55" s="265"/>
      <c r="H55" s="265"/>
      <c r="I55" s="265"/>
      <c r="J55" s="265"/>
      <c r="K55" s="265"/>
      <c r="L55" s="266"/>
      <c r="M55" s="266"/>
    </row>
    <row r="56" spans="1:13" ht="15.75">
      <c r="B56" s="270" t="s">
        <v>861</v>
      </c>
      <c r="C56" s="271"/>
      <c r="D56" s="271"/>
      <c r="E56" s="265"/>
      <c r="F56" s="265"/>
      <c r="G56" s="265"/>
      <c r="H56" s="265"/>
      <c r="I56" s="265"/>
      <c r="J56" s="265"/>
      <c r="K56" s="265"/>
      <c r="L56" s="266"/>
      <c r="M56" s="266"/>
    </row>
    <row r="57" spans="1:13" ht="15.75">
      <c r="B57" s="270" t="s">
        <v>857</v>
      </c>
      <c r="C57" s="271"/>
      <c r="D57" s="271"/>
      <c r="E57" s="265"/>
      <c r="F57" s="265"/>
      <c r="G57" s="265"/>
      <c r="H57" s="265"/>
      <c r="I57" s="265"/>
      <c r="J57" s="265"/>
      <c r="K57" s="265"/>
      <c r="L57" s="266"/>
      <c r="M57" s="266"/>
    </row>
    <row r="58" spans="1:13" s="332" customFormat="1"/>
    <row r="59" spans="1:13" s="332" customFormat="1" ht="28.5">
      <c r="A59" s="355" t="s">
        <v>10</v>
      </c>
      <c r="B59" s="355" t="s">
        <v>605</v>
      </c>
      <c r="C59" s="356" t="s">
        <v>606</v>
      </c>
      <c r="D59" s="357" t="s">
        <v>607</v>
      </c>
    </row>
    <row r="60" spans="1:13" s="332" customFormat="1" ht="15">
      <c r="A60" s="358">
        <v>1</v>
      </c>
      <c r="B60" s="359" t="s">
        <v>608</v>
      </c>
      <c r="C60" s="444">
        <v>428</v>
      </c>
      <c r="D60" s="444">
        <v>26</v>
      </c>
    </row>
    <row r="61" spans="1:13" s="332" customFormat="1" ht="15">
      <c r="A61" s="360">
        <v>2</v>
      </c>
      <c r="B61" s="361" t="s">
        <v>609</v>
      </c>
      <c r="C61" s="445">
        <v>199</v>
      </c>
      <c r="D61" s="445">
        <v>13</v>
      </c>
    </row>
    <row r="62" spans="1:13" s="332" customFormat="1" ht="15">
      <c r="A62" s="360">
        <v>3</v>
      </c>
      <c r="B62" s="361" t="s">
        <v>610</v>
      </c>
      <c r="C62" s="445">
        <v>200</v>
      </c>
      <c r="D62" s="445">
        <v>9</v>
      </c>
    </row>
    <row r="63" spans="1:13" s="332" customFormat="1" ht="15">
      <c r="A63" s="360">
        <v>4</v>
      </c>
      <c r="B63" s="361" t="s">
        <v>611</v>
      </c>
      <c r="C63" s="445">
        <v>258</v>
      </c>
      <c r="D63" s="445">
        <v>16</v>
      </c>
    </row>
    <row r="64" spans="1:13" s="332" customFormat="1" ht="15">
      <c r="A64" s="360">
        <v>5</v>
      </c>
      <c r="B64" s="361" t="s">
        <v>612</v>
      </c>
      <c r="C64" s="445">
        <v>165</v>
      </c>
      <c r="D64" s="445">
        <v>8</v>
      </c>
    </row>
    <row r="65" spans="1:4" s="332" customFormat="1" ht="15">
      <c r="A65" s="360">
        <v>6</v>
      </c>
      <c r="B65" s="361" t="s">
        <v>613</v>
      </c>
      <c r="C65" s="445">
        <v>111.5</v>
      </c>
      <c r="D65" s="445">
        <v>7</v>
      </c>
    </row>
    <row r="66" spans="1:4" s="332" customFormat="1" ht="15">
      <c r="A66" s="360">
        <v>7</v>
      </c>
      <c r="B66" s="361" t="s">
        <v>614</v>
      </c>
      <c r="C66" s="445">
        <v>47</v>
      </c>
      <c r="D66" s="445">
        <v>3</v>
      </c>
    </row>
    <row r="67" spans="1:4" s="332" customFormat="1" ht="15">
      <c r="A67" s="360">
        <v>8</v>
      </c>
      <c r="B67" s="361" t="s">
        <v>615</v>
      </c>
      <c r="C67" s="445">
        <v>54</v>
      </c>
      <c r="D67" s="445">
        <v>3</v>
      </c>
    </row>
    <row r="68" spans="1:4" s="332" customFormat="1" ht="15">
      <c r="A68" s="360">
        <v>9</v>
      </c>
      <c r="B68" s="361" t="s">
        <v>616</v>
      </c>
      <c r="C68" s="445">
        <v>81.5</v>
      </c>
      <c r="D68" s="445">
        <v>6</v>
      </c>
    </row>
    <row r="69" spans="1:4" s="332" customFormat="1" ht="15">
      <c r="A69" s="360">
        <v>10</v>
      </c>
      <c r="B69" s="361" t="s">
        <v>617</v>
      </c>
      <c r="C69" s="445">
        <v>60</v>
      </c>
      <c r="D69" s="445">
        <v>4</v>
      </c>
    </row>
    <row r="70" spans="1:4" s="332" customFormat="1" ht="15">
      <c r="A70" s="360">
        <v>11</v>
      </c>
      <c r="B70" s="361" t="s">
        <v>618</v>
      </c>
      <c r="C70" s="445">
        <v>136</v>
      </c>
      <c r="D70" s="445">
        <v>9</v>
      </c>
    </row>
    <row r="71" spans="1:4" s="332" customFormat="1" ht="15">
      <c r="A71" s="360">
        <v>12</v>
      </c>
      <c r="B71" s="361" t="s">
        <v>619</v>
      </c>
      <c r="C71" s="445">
        <v>27</v>
      </c>
      <c r="D71" s="445">
        <v>3</v>
      </c>
    </row>
    <row r="72" spans="1:4" s="332" customFormat="1" ht="15">
      <c r="A72" s="360">
        <v>13</v>
      </c>
      <c r="B72" s="361" t="s">
        <v>620</v>
      </c>
      <c r="C72" s="445">
        <v>88</v>
      </c>
      <c r="D72" s="445">
        <v>6</v>
      </c>
    </row>
    <row r="73" spans="1:4" s="332" customFormat="1" ht="15">
      <c r="A73" s="360">
        <v>14</v>
      </c>
      <c r="B73" s="361" t="s">
        <v>621</v>
      </c>
      <c r="C73" s="445">
        <v>177</v>
      </c>
      <c r="D73" s="445">
        <v>14</v>
      </c>
    </row>
    <row r="74" spans="1:4" s="332" customFormat="1" ht="15">
      <c r="A74" s="360">
        <v>15</v>
      </c>
      <c r="B74" s="361" t="s">
        <v>622</v>
      </c>
      <c r="C74" s="445">
        <v>8</v>
      </c>
      <c r="D74" s="445">
        <v>1</v>
      </c>
    </row>
    <row r="75" spans="1:4" s="332" customFormat="1" ht="15">
      <c r="A75" s="360">
        <v>16</v>
      </c>
      <c r="B75" s="361" t="s">
        <v>635</v>
      </c>
      <c r="C75" s="445">
        <v>45</v>
      </c>
      <c r="D75" s="445">
        <v>4</v>
      </c>
    </row>
    <row r="76" spans="1:4" s="332" customFormat="1" ht="15">
      <c r="A76" s="496"/>
      <c r="B76" s="497" t="s">
        <v>623</v>
      </c>
      <c r="C76" s="498">
        <f>SUM(C60:C75)</f>
        <v>2085</v>
      </c>
      <c r="D76" s="498">
        <f>SUM(D60:D75)</f>
        <v>132</v>
      </c>
    </row>
    <row r="79" spans="1:4" ht="14.25">
      <c r="B79" s="595" t="s">
        <v>817</v>
      </c>
      <c r="C79" s="596"/>
    </row>
  </sheetData>
  <mergeCells count="1">
    <mergeCell ref="B79:C79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P50"/>
  <sheetViews>
    <sheetView view="pageBreakPreview" topLeftCell="A19" zoomScaleSheetLayoutView="100" workbookViewId="0">
      <selection sqref="A1:AP50"/>
    </sheetView>
  </sheetViews>
  <sheetFormatPr defaultColWidth="9.140625" defaultRowHeight="15"/>
  <cols>
    <col min="1" max="1" width="3.42578125" style="114" customWidth="1"/>
    <col min="2" max="2" width="5.42578125" style="114" customWidth="1"/>
    <col min="3" max="3" width="51.5703125" style="133" customWidth="1"/>
    <col min="4" max="4" width="12.7109375" style="114" customWidth="1"/>
    <col min="5" max="5" width="11.140625" style="114" customWidth="1"/>
    <col min="6" max="6" width="11.28515625" style="114" customWidth="1"/>
    <col min="7" max="7" width="44" style="114" customWidth="1"/>
    <col min="8" max="198" width="9.140625" style="114"/>
    <col min="199" max="199" width="5.42578125" style="114" customWidth="1"/>
    <col min="200" max="200" width="45.42578125" style="114" customWidth="1"/>
    <col min="201" max="201" width="9.140625" style="114"/>
    <col min="202" max="202" width="10.28515625" style="114" customWidth="1"/>
    <col min="203" max="203" width="9.85546875" style="114" customWidth="1"/>
    <col min="204" max="204" width="10.7109375" style="114" customWidth="1"/>
    <col min="205" max="205" width="9.5703125" style="114" customWidth="1"/>
    <col min="206" max="206" width="9.140625" style="114"/>
    <col min="207" max="207" width="10.42578125" style="114" customWidth="1"/>
    <col min="208" max="208" width="9.140625" style="114"/>
    <col min="209" max="209" width="9.5703125" style="114" customWidth="1"/>
    <col min="210" max="210" width="11.140625" style="114" customWidth="1"/>
    <col min="211" max="211" width="10.28515625" style="114" customWidth="1"/>
    <col min="212" max="212" width="11.85546875" style="114" customWidth="1"/>
    <col min="213" max="213" width="13.5703125" style="114" customWidth="1"/>
    <col min="214" max="16384" width="9.140625" style="114"/>
  </cols>
  <sheetData>
    <row r="1" spans="2:42" ht="54" customHeight="1">
      <c r="B1" s="113"/>
      <c r="C1" s="583" t="s">
        <v>604</v>
      </c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  <c r="W1" s="584"/>
      <c r="X1" s="584"/>
      <c r="Y1" s="584"/>
      <c r="Z1" s="584"/>
      <c r="AA1" s="584"/>
      <c r="AB1" s="584"/>
      <c r="AC1" s="584"/>
      <c r="AD1" s="584"/>
      <c r="AE1" s="584"/>
      <c r="AF1" s="584"/>
      <c r="AG1" s="584"/>
      <c r="AH1" s="584"/>
      <c r="AI1" s="584"/>
      <c r="AJ1" s="584"/>
      <c r="AK1" s="584"/>
      <c r="AL1" s="584"/>
      <c r="AM1" s="584"/>
      <c r="AN1" s="584"/>
      <c r="AO1" s="584"/>
      <c r="AP1" s="584"/>
    </row>
    <row r="2" spans="2:42" ht="28.5">
      <c r="B2" s="115" t="s">
        <v>10</v>
      </c>
      <c r="C2" s="115" t="s">
        <v>179</v>
      </c>
      <c r="D2" s="116" t="s">
        <v>339</v>
      </c>
      <c r="E2" s="117" t="s">
        <v>340</v>
      </c>
      <c r="F2" s="117" t="s">
        <v>341</v>
      </c>
      <c r="G2" s="117" t="s">
        <v>342</v>
      </c>
    </row>
    <row r="3" spans="2:42" s="120" customFormat="1">
      <c r="B3" s="118">
        <v>1</v>
      </c>
      <c r="C3" s="118">
        <v>2</v>
      </c>
      <c r="D3" s="118">
        <v>3</v>
      </c>
      <c r="E3" s="119">
        <v>4</v>
      </c>
      <c r="F3" s="119">
        <v>5</v>
      </c>
      <c r="G3" s="119">
        <v>6</v>
      </c>
    </row>
    <row r="4" spans="2:42" ht="32.25" customHeight="1">
      <c r="B4" s="121">
        <v>1</v>
      </c>
      <c r="C4" s="122" t="s">
        <v>193</v>
      </c>
      <c r="D4" s="121"/>
      <c r="E4" s="121">
        <v>1</v>
      </c>
      <c r="F4" s="123">
        <v>0</v>
      </c>
      <c r="G4" s="124" t="s">
        <v>474</v>
      </c>
    </row>
    <row r="5" spans="2:42" ht="32.25" customHeight="1">
      <c r="B5" s="121">
        <v>2</v>
      </c>
      <c r="C5" s="122" t="s">
        <v>343</v>
      </c>
      <c r="D5" s="121"/>
      <c r="E5" s="121">
        <v>3</v>
      </c>
      <c r="F5" s="123">
        <v>0</v>
      </c>
      <c r="G5" s="124" t="s">
        <v>475</v>
      </c>
    </row>
    <row r="6" spans="2:42" ht="32.25" customHeight="1">
      <c r="B6" s="121">
        <v>3</v>
      </c>
      <c r="C6" s="122" t="s">
        <v>344</v>
      </c>
      <c r="D6" s="121"/>
      <c r="E6" s="121">
        <v>2</v>
      </c>
      <c r="F6" s="123">
        <v>0</v>
      </c>
      <c r="G6" s="124" t="s">
        <v>476</v>
      </c>
    </row>
    <row r="7" spans="2:42" ht="32.25" customHeight="1">
      <c r="B7" s="121">
        <v>4</v>
      </c>
      <c r="C7" s="122" t="s">
        <v>345</v>
      </c>
      <c r="D7" s="121"/>
      <c r="E7" s="121">
        <v>0</v>
      </c>
      <c r="F7" s="123">
        <v>0</v>
      </c>
      <c r="G7" s="124" t="s">
        <v>477</v>
      </c>
    </row>
    <row r="8" spans="2:42" ht="32.25" customHeight="1">
      <c r="B8" s="121">
        <v>5</v>
      </c>
      <c r="C8" s="122" t="s">
        <v>346</v>
      </c>
      <c r="D8" s="121"/>
      <c r="E8" s="121">
        <v>1</v>
      </c>
      <c r="F8" s="123">
        <v>0</v>
      </c>
      <c r="G8" s="124" t="s">
        <v>478</v>
      </c>
    </row>
    <row r="9" spans="2:42" ht="32.25" customHeight="1">
      <c r="B9" s="121">
        <v>6</v>
      </c>
      <c r="C9" s="225" t="s">
        <v>466</v>
      </c>
      <c r="D9" s="121"/>
      <c r="E9" s="121">
        <v>1</v>
      </c>
      <c r="F9" s="123">
        <v>0</v>
      </c>
      <c r="G9" s="124" t="s">
        <v>479</v>
      </c>
    </row>
    <row r="10" spans="2:42" ht="32.25" customHeight="1">
      <c r="B10" s="121">
        <v>7</v>
      </c>
      <c r="C10" s="125" t="s">
        <v>201</v>
      </c>
      <c r="D10" s="121"/>
      <c r="E10" s="121">
        <v>1</v>
      </c>
      <c r="F10" s="123">
        <v>0</v>
      </c>
      <c r="G10" s="124" t="s">
        <v>480</v>
      </c>
    </row>
    <row r="11" spans="2:42" ht="32.25" customHeight="1">
      <c r="B11" s="121">
        <v>8</v>
      </c>
      <c r="C11" s="122" t="s">
        <v>347</v>
      </c>
      <c r="D11" s="121"/>
      <c r="E11" s="121">
        <v>1</v>
      </c>
      <c r="F11" s="123">
        <v>0</v>
      </c>
      <c r="G11" s="124" t="s">
        <v>481</v>
      </c>
    </row>
    <row r="12" spans="2:42" ht="32.25" customHeight="1">
      <c r="B12" s="121">
        <v>9</v>
      </c>
      <c r="C12" s="122" t="s">
        <v>348</v>
      </c>
      <c r="D12" s="121"/>
      <c r="E12" s="121">
        <v>2</v>
      </c>
      <c r="F12" s="123">
        <v>0</v>
      </c>
      <c r="G12" s="124" t="s">
        <v>475</v>
      </c>
    </row>
    <row r="13" spans="2:42" ht="32.25" customHeight="1">
      <c r="B13" s="121">
        <v>10</v>
      </c>
      <c r="C13" s="226" t="s">
        <v>214</v>
      </c>
      <c r="D13" s="121"/>
      <c r="E13" s="121">
        <v>2</v>
      </c>
      <c r="F13" s="123">
        <v>0</v>
      </c>
      <c r="G13" s="124" t="s">
        <v>477</v>
      </c>
    </row>
    <row r="14" spans="2:42" ht="32.25" customHeight="1">
      <c r="B14" s="121">
        <v>11</v>
      </c>
      <c r="C14" s="226" t="s">
        <v>423</v>
      </c>
      <c r="D14" s="121"/>
      <c r="E14" s="121">
        <v>1</v>
      </c>
      <c r="F14" s="123">
        <v>0</v>
      </c>
      <c r="G14" s="124" t="s">
        <v>480</v>
      </c>
    </row>
    <row r="15" spans="2:42" ht="32.25" customHeight="1">
      <c r="B15" s="121">
        <v>12</v>
      </c>
      <c r="C15" s="122" t="s">
        <v>349</v>
      </c>
      <c r="D15" s="121"/>
      <c r="E15" s="121">
        <v>6.75</v>
      </c>
      <c r="F15" s="123">
        <v>0</v>
      </c>
      <c r="G15" s="126" t="s">
        <v>482</v>
      </c>
    </row>
    <row r="16" spans="2:42" ht="32.25" customHeight="1">
      <c r="B16" s="121">
        <v>13</v>
      </c>
      <c r="C16" s="122" t="s">
        <v>350</v>
      </c>
      <c r="D16" s="121"/>
      <c r="E16" s="121">
        <v>3</v>
      </c>
      <c r="F16" s="123">
        <v>0</v>
      </c>
      <c r="G16" s="124" t="s">
        <v>483</v>
      </c>
    </row>
    <row r="17" spans="2:7" ht="32.25" customHeight="1">
      <c r="B17" s="121">
        <v>14</v>
      </c>
      <c r="C17" s="122" t="s">
        <v>351</v>
      </c>
      <c r="D17" s="121"/>
      <c r="E17" s="121">
        <v>1</v>
      </c>
      <c r="F17" s="123">
        <v>0</v>
      </c>
      <c r="G17" s="126" t="s">
        <v>503</v>
      </c>
    </row>
    <row r="18" spans="2:7" ht="32.25" customHeight="1">
      <c r="B18" s="121">
        <v>15</v>
      </c>
      <c r="C18" s="227" t="s">
        <v>405</v>
      </c>
      <c r="D18" s="121"/>
      <c r="E18" s="121">
        <v>1</v>
      </c>
      <c r="F18" s="123">
        <v>0</v>
      </c>
      <c r="G18" s="124" t="s">
        <v>479</v>
      </c>
    </row>
    <row r="19" spans="2:7" ht="32.25" customHeight="1">
      <c r="B19" s="121">
        <v>16</v>
      </c>
      <c r="C19" s="122" t="s">
        <v>352</v>
      </c>
      <c r="D19" s="121"/>
      <c r="E19" s="121">
        <v>2</v>
      </c>
      <c r="F19" s="123">
        <v>0</v>
      </c>
      <c r="G19" s="124" t="s">
        <v>484</v>
      </c>
    </row>
    <row r="20" spans="2:7" ht="32.25" customHeight="1">
      <c r="B20" s="121">
        <v>17</v>
      </c>
      <c r="C20" s="122" t="s">
        <v>353</v>
      </c>
      <c r="D20" s="121"/>
      <c r="E20" s="121">
        <v>0.5</v>
      </c>
      <c r="F20" s="123">
        <v>0</v>
      </c>
      <c r="G20" s="124" t="s">
        <v>483</v>
      </c>
    </row>
    <row r="21" spans="2:7" ht="32.25" customHeight="1">
      <c r="B21" s="121">
        <v>18</v>
      </c>
      <c r="C21" s="225" t="s">
        <v>220</v>
      </c>
      <c r="D21" s="121"/>
      <c r="E21" s="121">
        <v>4</v>
      </c>
      <c r="F21" s="123">
        <v>0</v>
      </c>
      <c r="G21" s="124" t="s">
        <v>485</v>
      </c>
    </row>
    <row r="22" spans="2:7" ht="32.25" customHeight="1">
      <c r="B22" s="121">
        <v>19</v>
      </c>
      <c r="C22" s="122" t="s">
        <v>354</v>
      </c>
      <c r="D22" s="121"/>
      <c r="E22" s="121">
        <v>1</v>
      </c>
      <c r="F22" s="123">
        <v>0</v>
      </c>
      <c r="G22" s="124" t="s">
        <v>486</v>
      </c>
    </row>
    <row r="23" spans="2:7" ht="32.25" customHeight="1">
      <c r="B23" s="121">
        <v>20</v>
      </c>
      <c r="C23" s="122" t="s">
        <v>355</v>
      </c>
      <c r="D23" s="121"/>
      <c r="E23" s="121">
        <v>1</v>
      </c>
      <c r="F23" s="123">
        <v>0</v>
      </c>
      <c r="G23" s="124" t="s">
        <v>480</v>
      </c>
    </row>
    <row r="24" spans="2:7" ht="32.25" customHeight="1">
      <c r="B24" s="121">
        <v>21</v>
      </c>
      <c r="C24" s="122" t="s">
        <v>356</v>
      </c>
      <c r="D24" s="121"/>
      <c r="E24" s="121">
        <v>1</v>
      </c>
      <c r="F24" s="123"/>
      <c r="G24" s="124" t="s">
        <v>486</v>
      </c>
    </row>
    <row r="25" spans="2:7" ht="32.25" customHeight="1">
      <c r="B25" s="121">
        <v>22</v>
      </c>
      <c r="C25" s="122" t="s">
        <v>357</v>
      </c>
      <c r="D25" s="121"/>
      <c r="E25" s="121">
        <v>1</v>
      </c>
      <c r="F25" s="123">
        <v>0</v>
      </c>
      <c r="G25" s="124" t="s">
        <v>485</v>
      </c>
    </row>
    <row r="26" spans="2:7" ht="32.25" customHeight="1">
      <c r="B26" s="121">
        <v>23</v>
      </c>
      <c r="C26" s="122" t="s">
        <v>358</v>
      </c>
      <c r="D26" s="121"/>
      <c r="E26" s="127">
        <v>5</v>
      </c>
      <c r="F26" s="123">
        <v>0</v>
      </c>
      <c r="G26" s="126" t="s">
        <v>359</v>
      </c>
    </row>
    <row r="27" spans="2:7" ht="32.25" customHeight="1">
      <c r="B27" s="121">
        <v>24</v>
      </c>
      <c r="C27" s="122" t="s">
        <v>360</v>
      </c>
      <c r="D27" s="121"/>
      <c r="E27" s="127">
        <v>2</v>
      </c>
      <c r="F27" s="123">
        <v>0</v>
      </c>
      <c r="G27" s="128" t="s">
        <v>487</v>
      </c>
    </row>
    <row r="28" spans="2:7" ht="32.25" customHeight="1">
      <c r="B28" s="121">
        <v>25</v>
      </c>
      <c r="C28" s="122" t="s">
        <v>361</v>
      </c>
      <c r="D28" s="121"/>
      <c r="E28" s="121">
        <v>1</v>
      </c>
      <c r="F28" s="123">
        <v>0</v>
      </c>
      <c r="G28" s="126" t="s">
        <v>488</v>
      </c>
    </row>
    <row r="29" spans="2:7" ht="32.25" customHeight="1">
      <c r="B29" s="121">
        <v>26</v>
      </c>
      <c r="C29" s="228" t="s">
        <v>272</v>
      </c>
      <c r="D29" s="121"/>
      <c r="E29" s="127">
        <v>1</v>
      </c>
      <c r="F29" s="123">
        <v>0</v>
      </c>
      <c r="G29" s="126" t="s">
        <v>489</v>
      </c>
    </row>
    <row r="30" spans="2:7" ht="32.25" customHeight="1">
      <c r="B30" s="121">
        <v>27</v>
      </c>
      <c r="C30" s="122" t="s">
        <v>362</v>
      </c>
      <c r="D30" s="121"/>
      <c r="E30" s="121">
        <v>17.5</v>
      </c>
      <c r="F30" s="123">
        <v>0</v>
      </c>
      <c r="G30" s="128" t="s">
        <v>490</v>
      </c>
    </row>
    <row r="31" spans="2:7" ht="32.25" customHeight="1">
      <c r="B31" s="121">
        <v>28</v>
      </c>
      <c r="C31" s="122" t="s">
        <v>329</v>
      </c>
      <c r="D31" s="121"/>
      <c r="E31" s="121">
        <v>1.5</v>
      </c>
      <c r="F31" s="123">
        <v>0</v>
      </c>
      <c r="G31" s="126" t="s">
        <v>491</v>
      </c>
    </row>
    <row r="32" spans="2:7" ht="32.25" customHeight="1">
      <c r="B32" s="121">
        <v>29</v>
      </c>
      <c r="C32" s="122" t="s">
        <v>363</v>
      </c>
      <c r="D32" s="121"/>
      <c r="E32" s="121">
        <v>0.5</v>
      </c>
      <c r="F32" s="123">
        <v>0</v>
      </c>
      <c r="G32" s="126" t="s">
        <v>492</v>
      </c>
    </row>
    <row r="33" spans="2:7" ht="32.25" customHeight="1">
      <c r="B33" s="121">
        <v>30</v>
      </c>
      <c r="C33" s="122" t="s">
        <v>364</v>
      </c>
      <c r="D33" s="121"/>
      <c r="E33" s="121">
        <v>1</v>
      </c>
      <c r="F33" s="123">
        <v>0</v>
      </c>
      <c r="G33" s="124" t="s">
        <v>486</v>
      </c>
    </row>
    <row r="34" spans="2:7" ht="32.25" customHeight="1">
      <c r="B34" s="121">
        <v>31</v>
      </c>
      <c r="C34" s="122" t="s">
        <v>365</v>
      </c>
      <c r="D34" s="121"/>
      <c r="E34" s="121">
        <v>1.5</v>
      </c>
      <c r="F34" s="123">
        <v>0</v>
      </c>
      <c r="G34" s="124" t="s">
        <v>493</v>
      </c>
    </row>
    <row r="35" spans="2:7" ht="32.25" customHeight="1">
      <c r="B35" s="121">
        <v>32</v>
      </c>
      <c r="C35" s="122" t="s">
        <v>467</v>
      </c>
      <c r="D35" s="121"/>
      <c r="E35" s="121">
        <v>0.5</v>
      </c>
      <c r="F35" s="123">
        <v>0</v>
      </c>
      <c r="G35" s="124" t="s">
        <v>366</v>
      </c>
    </row>
    <row r="36" spans="2:7" ht="32.25" customHeight="1">
      <c r="B36" s="121">
        <v>33</v>
      </c>
      <c r="C36" s="125" t="s">
        <v>367</v>
      </c>
      <c r="D36" s="121"/>
      <c r="E36" s="121">
        <v>3</v>
      </c>
      <c r="F36" s="123">
        <v>0</v>
      </c>
      <c r="G36" s="126" t="s">
        <v>494</v>
      </c>
    </row>
    <row r="37" spans="2:7" ht="32.25" customHeight="1">
      <c r="B37" s="121">
        <v>34</v>
      </c>
      <c r="C37" s="122" t="s">
        <v>368</v>
      </c>
      <c r="D37" s="121"/>
      <c r="E37" s="121">
        <v>4</v>
      </c>
      <c r="F37" s="123">
        <v>0</v>
      </c>
      <c r="G37" s="126" t="s">
        <v>495</v>
      </c>
    </row>
    <row r="38" spans="2:7" ht="32.25" customHeight="1">
      <c r="B38" s="121">
        <v>35</v>
      </c>
      <c r="C38" s="122" t="s">
        <v>330</v>
      </c>
      <c r="D38" s="121"/>
      <c r="E38" s="121">
        <v>6</v>
      </c>
      <c r="F38" s="123">
        <v>0</v>
      </c>
      <c r="G38" s="126" t="s">
        <v>496</v>
      </c>
    </row>
    <row r="39" spans="2:7" ht="32.25" customHeight="1">
      <c r="B39" s="121">
        <v>36</v>
      </c>
      <c r="C39" s="122" t="s">
        <v>369</v>
      </c>
      <c r="D39" s="121"/>
      <c r="E39" s="121">
        <v>24</v>
      </c>
      <c r="F39" s="123">
        <v>0</v>
      </c>
      <c r="G39" s="128" t="s">
        <v>497</v>
      </c>
    </row>
    <row r="40" spans="2:7" ht="32.25" customHeight="1">
      <c r="B40" s="121">
        <v>37</v>
      </c>
      <c r="C40" s="122" t="s">
        <v>370</v>
      </c>
      <c r="D40" s="121"/>
      <c r="E40" s="121">
        <v>2</v>
      </c>
      <c r="F40" s="123">
        <v>0</v>
      </c>
      <c r="G40" s="128" t="s">
        <v>498</v>
      </c>
    </row>
    <row r="41" spans="2:7" ht="32.25" customHeight="1">
      <c r="B41" s="121">
        <v>38</v>
      </c>
      <c r="C41" s="122" t="s">
        <v>473</v>
      </c>
      <c r="D41" s="121"/>
      <c r="E41" s="121">
        <v>2</v>
      </c>
      <c r="F41" s="123">
        <v>0</v>
      </c>
      <c r="G41" s="128" t="s">
        <v>499</v>
      </c>
    </row>
    <row r="42" spans="2:7" ht="32.25" customHeight="1">
      <c r="B42" s="121">
        <v>39</v>
      </c>
      <c r="C42" s="122" t="s">
        <v>334</v>
      </c>
      <c r="D42" s="121"/>
      <c r="E42" s="121">
        <v>1</v>
      </c>
      <c r="F42" s="123">
        <v>0</v>
      </c>
      <c r="G42" s="126" t="s">
        <v>500</v>
      </c>
    </row>
    <row r="43" spans="2:7" ht="32.25" customHeight="1">
      <c r="B43" s="121">
        <v>40</v>
      </c>
      <c r="C43" s="122" t="s">
        <v>371</v>
      </c>
      <c r="D43" s="121"/>
      <c r="E43" s="121">
        <v>1</v>
      </c>
      <c r="F43" s="123">
        <v>0</v>
      </c>
      <c r="G43" s="126" t="s">
        <v>501</v>
      </c>
    </row>
    <row r="44" spans="2:7" ht="32.25" customHeight="1">
      <c r="B44" s="121">
        <v>41</v>
      </c>
      <c r="C44" s="122" t="s">
        <v>468</v>
      </c>
      <c r="D44" s="121"/>
      <c r="E44" s="121">
        <v>2</v>
      </c>
      <c r="F44" s="123">
        <v>0</v>
      </c>
      <c r="G44" s="126" t="s">
        <v>502</v>
      </c>
    </row>
    <row r="45" spans="2:7" ht="32.25" customHeight="1">
      <c r="B45" s="121">
        <v>42</v>
      </c>
      <c r="C45" s="122" t="s">
        <v>372</v>
      </c>
      <c r="D45" s="121"/>
      <c r="E45" s="121">
        <v>2</v>
      </c>
      <c r="F45" s="123">
        <v>0</v>
      </c>
      <c r="G45" s="124" t="s">
        <v>479</v>
      </c>
    </row>
    <row r="46" spans="2:7" s="129" customFormat="1" ht="18.75" customHeight="1">
      <c r="B46" s="340"/>
      <c r="C46" s="341" t="s">
        <v>373</v>
      </c>
      <c r="D46" s="342"/>
      <c r="E46" s="342">
        <f>SUM(E4:E45)</f>
        <v>115.75</v>
      </c>
      <c r="F46" s="343">
        <f>SUM(F4:F45)</f>
        <v>0</v>
      </c>
      <c r="G46" s="344"/>
    </row>
    <row r="47" spans="2:7">
      <c r="B47" s="113"/>
      <c r="C47" s="130"/>
      <c r="D47" s="130"/>
      <c r="E47" s="130"/>
      <c r="F47" s="130"/>
      <c r="G47" s="130"/>
    </row>
    <row r="49" spans="2:4" customFormat="1" ht="18.75">
      <c r="B49" s="285" t="s">
        <v>766</v>
      </c>
      <c r="C49" s="276"/>
      <c r="D49" s="276"/>
    </row>
    <row r="50" spans="2:4">
      <c r="C50" s="132"/>
    </row>
  </sheetData>
  <mergeCells count="1">
    <mergeCell ref="C1:AP1"/>
  </mergeCells>
  <pageMargins left="0.59055118110236227" right="0.19685039370078741" top="0.59055118110236227" bottom="0.19685039370078741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F156"/>
  <sheetViews>
    <sheetView topLeftCell="A130" workbookViewId="0">
      <selection activeCell="A154" sqref="A154:XFD154"/>
    </sheetView>
  </sheetViews>
  <sheetFormatPr defaultRowHeight="12.75"/>
  <cols>
    <col min="1" max="1" width="4.7109375" customWidth="1"/>
    <col min="2" max="2" width="20.85546875" customWidth="1"/>
    <col min="3" max="3" width="16.28515625" customWidth="1"/>
    <col min="4" max="4" width="13.5703125" customWidth="1"/>
    <col min="5" max="5" width="14.5703125" customWidth="1"/>
    <col min="6" max="6" width="10.42578125" customWidth="1"/>
  </cols>
  <sheetData>
    <row r="2" spans="1:6" ht="15.75">
      <c r="A2" s="267"/>
      <c r="B2" s="276" t="s">
        <v>764</v>
      </c>
      <c r="C2" s="276"/>
      <c r="D2" s="276"/>
      <c r="E2" s="276"/>
      <c r="F2" s="264"/>
    </row>
    <row r="3" spans="1:6" ht="15.75">
      <c r="A3" s="267"/>
      <c r="B3" s="276" t="s">
        <v>763</v>
      </c>
      <c r="C3" s="276"/>
      <c r="D3" s="276"/>
      <c r="E3" s="276"/>
      <c r="F3" s="264"/>
    </row>
    <row r="4" spans="1:6" ht="15.75">
      <c r="A4" s="267"/>
      <c r="B4" s="267"/>
      <c r="C4" s="267"/>
      <c r="D4" s="267"/>
      <c r="E4" s="267"/>
    </row>
    <row r="5" spans="1:6" ht="25.5">
      <c r="A5" s="272" t="s">
        <v>10</v>
      </c>
      <c r="B5" s="273" t="s">
        <v>579</v>
      </c>
      <c r="C5" s="273" t="s">
        <v>580</v>
      </c>
      <c r="D5" s="273" t="s">
        <v>581</v>
      </c>
      <c r="E5" s="273" t="s">
        <v>582</v>
      </c>
    </row>
    <row r="6" spans="1:6" s="332" customFormat="1" ht="41.25" customHeight="1">
      <c r="A6" s="331">
        <v>1</v>
      </c>
      <c r="B6" s="216" t="s">
        <v>754</v>
      </c>
      <c r="C6" s="216" t="s">
        <v>583</v>
      </c>
      <c r="D6" s="216" t="s">
        <v>586</v>
      </c>
      <c r="E6" s="216" t="s">
        <v>774</v>
      </c>
    </row>
    <row r="7" spans="1:6" s="332" customFormat="1" ht="41.25" customHeight="1">
      <c r="A7" s="331">
        <v>2</v>
      </c>
      <c r="B7" s="216" t="s">
        <v>564</v>
      </c>
      <c r="C7" s="216" t="s">
        <v>585</v>
      </c>
      <c r="D7" s="216" t="s">
        <v>586</v>
      </c>
      <c r="E7" s="216" t="s">
        <v>775</v>
      </c>
    </row>
    <row r="8" spans="1:6" s="332" customFormat="1" ht="41.25" customHeight="1">
      <c r="A8" s="331">
        <v>3</v>
      </c>
      <c r="B8" s="216" t="s">
        <v>454</v>
      </c>
      <c r="C8" s="216" t="s">
        <v>776</v>
      </c>
      <c r="D8" s="331" t="s">
        <v>586</v>
      </c>
      <c r="E8" s="216" t="s">
        <v>777</v>
      </c>
    </row>
    <row r="9" spans="1:6" ht="41.25" customHeight="1">
      <c r="A9" s="274">
        <v>4</v>
      </c>
      <c r="B9" s="216" t="s">
        <v>92</v>
      </c>
      <c r="C9" s="216" t="s">
        <v>585</v>
      </c>
      <c r="D9" s="216" t="s">
        <v>778</v>
      </c>
      <c r="E9" s="216" t="s">
        <v>779</v>
      </c>
    </row>
    <row r="10" spans="1:6" ht="41.25" customHeight="1">
      <c r="A10" s="274">
        <v>5</v>
      </c>
      <c r="B10" s="216" t="s">
        <v>562</v>
      </c>
      <c r="C10" s="216" t="s">
        <v>780</v>
      </c>
      <c r="D10" s="216" t="s">
        <v>781</v>
      </c>
      <c r="E10" s="216" t="s">
        <v>782</v>
      </c>
    </row>
    <row r="11" spans="1:6" ht="41.25" customHeight="1">
      <c r="A11" s="331">
        <v>6</v>
      </c>
      <c r="B11" s="78" t="s">
        <v>559</v>
      </c>
      <c r="C11" s="216" t="s">
        <v>783</v>
      </c>
      <c r="D11" s="216" t="s">
        <v>784</v>
      </c>
      <c r="E11" s="216" t="s">
        <v>785</v>
      </c>
    </row>
    <row r="12" spans="1:6" ht="41.25" customHeight="1">
      <c r="A12" s="331">
        <v>7</v>
      </c>
      <c r="B12" s="216" t="s">
        <v>760</v>
      </c>
      <c r="C12" s="216" t="s">
        <v>583</v>
      </c>
      <c r="D12" s="216" t="s">
        <v>784</v>
      </c>
      <c r="E12" s="216" t="s">
        <v>786</v>
      </c>
    </row>
    <row r="13" spans="1:6">
      <c r="A13" s="289"/>
      <c r="B13" s="290"/>
      <c r="C13" s="291"/>
      <c r="D13" s="291"/>
      <c r="E13" s="291"/>
    </row>
    <row r="14" spans="1:6">
      <c r="B14" s="285" t="s">
        <v>762</v>
      </c>
      <c r="C14" s="276"/>
      <c r="D14" s="276"/>
    </row>
    <row r="15" spans="1:6">
      <c r="B15" s="285"/>
      <c r="C15" s="276"/>
      <c r="D15" s="276"/>
    </row>
    <row r="16" spans="1:6">
      <c r="B16" s="285"/>
      <c r="C16" s="276"/>
      <c r="D16" s="276"/>
    </row>
    <row r="19" spans="1:6" ht="15.75">
      <c r="A19" s="267"/>
      <c r="B19" s="285" t="s">
        <v>761</v>
      </c>
      <c r="C19" s="276"/>
      <c r="D19" s="276"/>
      <c r="E19" s="276"/>
      <c r="F19" s="277"/>
    </row>
    <row r="20" spans="1:6" ht="15.75">
      <c r="A20" s="267"/>
      <c r="B20" s="276" t="s">
        <v>587</v>
      </c>
      <c r="C20" s="276"/>
      <c r="D20" s="276"/>
      <c r="E20" s="276"/>
      <c r="F20" s="277"/>
    </row>
    <row r="21" spans="1:6" ht="15.75">
      <c r="A21" s="267"/>
      <c r="B21" s="267"/>
      <c r="C21" s="267"/>
      <c r="D21" s="267"/>
      <c r="E21" s="267"/>
    </row>
    <row r="22" spans="1:6" s="332" customFormat="1" ht="19.5" customHeight="1">
      <c r="A22" s="333" t="s">
        <v>10</v>
      </c>
      <c r="B22" s="334" t="s">
        <v>579</v>
      </c>
      <c r="C22" s="334" t="s">
        <v>588</v>
      </c>
    </row>
    <row r="23" spans="1:6" s="332" customFormat="1" ht="19.5" customHeight="1">
      <c r="A23" s="63">
        <v>1</v>
      </c>
      <c r="B23" s="107" t="s">
        <v>84</v>
      </c>
      <c r="C23" s="335">
        <v>43782</v>
      </c>
    </row>
    <row r="25" spans="1:6">
      <c r="B25" s="285" t="s">
        <v>762</v>
      </c>
      <c r="C25" s="276"/>
      <c r="D25" s="276"/>
    </row>
    <row r="26" spans="1:6">
      <c r="B26" s="285"/>
      <c r="C26" s="276"/>
      <c r="D26" s="276"/>
    </row>
    <row r="27" spans="1:6">
      <c r="B27" s="285"/>
      <c r="C27" s="276"/>
      <c r="D27" s="276"/>
    </row>
    <row r="28" spans="1:6">
      <c r="B28" s="285"/>
      <c r="C28" s="276"/>
      <c r="D28" s="276"/>
    </row>
    <row r="29" spans="1:6">
      <c r="B29" s="285"/>
      <c r="C29" s="276"/>
      <c r="D29" s="276"/>
    </row>
    <row r="30" spans="1:6">
      <c r="B30" s="285"/>
      <c r="C30" s="276"/>
      <c r="D30" s="276"/>
    </row>
    <row r="31" spans="1:6">
      <c r="B31" s="285"/>
      <c r="C31" s="276"/>
      <c r="D31" s="276"/>
    </row>
    <row r="32" spans="1:6">
      <c r="B32" s="285"/>
      <c r="C32" s="276"/>
      <c r="D32" s="276"/>
    </row>
    <row r="33" spans="1:6">
      <c r="B33" s="285"/>
      <c r="C33" s="276"/>
      <c r="D33" s="276"/>
    </row>
    <row r="34" spans="1:6">
      <c r="B34" s="285"/>
      <c r="C34" s="276"/>
      <c r="D34" s="276"/>
    </row>
    <row r="35" spans="1:6">
      <c r="B35" s="285"/>
      <c r="C35" s="276"/>
      <c r="D35" s="276"/>
    </row>
    <row r="36" spans="1:6">
      <c r="B36" s="285"/>
      <c r="C36" s="276"/>
      <c r="D36" s="276"/>
    </row>
    <row r="37" spans="1:6">
      <c r="B37" s="285"/>
      <c r="C37" s="276"/>
      <c r="D37" s="276"/>
    </row>
    <row r="38" spans="1:6">
      <c r="B38" s="285"/>
      <c r="C38" s="276"/>
      <c r="D38" s="276"/>
    </row>
    <row r="39" spans="1:6">
      <c r="B39" s="285"/>
      <c r="C39" s="276"/>
      <c r="D39" s="276"/>
    </row>
    <row r="41" spans="1:6">
      <c r="B41" s="285" t="s">
        <v>815</v>
      </c>
      <c r="C41" s="276"/>
      <c r="D41" s="276"/>
      <c r="E41" s="276"/>
    </row>
    <row r="42" spans="1:6">
      <c r="B42" s="276" t="s">
        <v>816</v>
      </c>
      <c r="C42" s="276"/>
      <c r="D42" s="276"/>
      <c r="E42" s="276"/>
    </row>
    <row r="44" spans="1:6">
      <c r="A44" s="278" t="s">
        <v>10</v>
      </c>
      <c r="B44" s="278" t="s">
        <v>579</v>
      </c>
      <c r="C44" s="278" t="s">
        <v>581</v>
      </c>
      <c r="D44" s="278" t="s">
        <v>589</v>
      </c>
      <c r="E44" s="278" t="s">
        <v>590</v>
      </c>
      <c r="F44" s="279" t="s">
        <v>591</v>
      </c>
    </row>
    <row r="45" spans="1:6" s="330" customFormat="1" ht="25.5">
      <c r="A45" s="69">
        <v>1</v>
      </c>
      <c r="B45" s="107" t="s">
        <v>717</v>
      </c>
      <c r="C45" s="107" t="s">
        <v>595</v>
      </c>
      <c r="D45" s="69" t="s">
        <v>51</v>
      </c>
      <c r="E45" s="336">
        <v>43826</v>
      </c>
      <c r="F45" s="337" t="s">
        <v>718</v>
      </c>
    </row>
    <row r="46" spans="1:6" s="330" customFormat="1" ht="25.5">
      <c r="A46" s="51">
        <v>2</v>
      </c>
      <c r="B46" s="104" t="s">
        <v>636</v>
      </c>
      <c r="C46" s="338" t="s">
        <v>53</v>
      </c>
      <c r="D46" s="69" t="s">
        <v>51</v>
      </c>
      <c r="E46" s="336">
        <v>45169</v>
      </c>
      <c r="F46" s="337" t="s">
        <v>592</v>
      </c>
    </row>
    <row r="47" spans="1:6" s="330" customFormat="1" ht="25.5">
      <c r="A47" s="51">
        <v>3</v>
      </c>
      <c r="B47" s="104" t="s">
        <v>637</v>
      </c>
      <c r="C47" s="339" t="s">
        <v>53</v>
      </c>
      <c r="D47" s="69" t="s">
        <v>51</v>
      </c>
      <c r="E47" s="336">
        <v>45169</v>
      </c>
      <c r="F47" s="337" t="s">
        <v>592</v>
      </c>
    </row>
    <row r="48" spans="1:6" s="330" customFormat="1" ht="25.5">
      <c r="A48" s="51">
        <v>4</v>
      </c>
      <c r="B48" s="107" t="s">
        <v>662</v>
      </c>
      <c r="C48" s="107" t="s">
        <v>663</v>
      </c>
      <c r="D48" s="69" t="s">
        <v>51</v>
      </c>
      <c r="E48" s="336">
        <v>44559</v>
      </c>
      <c r="F48" s="337" t="s">
        <v>592</v>
      </c>
    </row>
    <row r="49" spans="1:6" s="330" customFormat="1" ht="25.5">
      <c r="A49" s="51">
        <v>5</v>
      </c>
      <c r="B49" s="107" t="s">
        <v>664</v>
      </c>
      <c r="C49" s="107" t="s">
        <v>665</v>
      </c>
      <c r="D49" s="69" t="s">
        <v>51</v>
      </c>
      <c r="E49" s="336">
        <v>44559</v>
      </c>
      <c r="F49" s="337" t="s">
        <v>592</v>
      </c>
    </row>
    <row r="50" spans="1:6" s="330" customFormat="1" ht="25.5">
      <c r="A50" s="51">
        <v>6</v>
      </c>
      <c r="B50" s="107" t="s">
        <v>679</v>
      </c>
      <c r="C50" s="107" t="s">
        <v>680</v>
      </c>
      <c r="D50" s="69" t="s">
        <v>51</v>
      </c>
      <c r="E50" s="336">
        <v>44432</v>
      </c>
      <c r="F50" s="337" t="s">
        <v>592</v>
      </c>
    </row>
    <row r="51" spans="1:6" s="330" customFormat="1" ht="25.5">
      <c r="A51" s="69">
        <v>7</v>
      </c>
      <c r="B51" s="107" t="s">
        <v>681</v>
      </c>
      <c r="C51" s="107" t="s">
        <v>657</v>
      </c>
      <c r="D51" s="69" t="s">
        <v>51</v>
      </c>
      <c r="E51" s="336">
        <v>44432</v>
      </c>
      <c r="F51" s="337" t="s">
        <v>592</v>
      </c>
    </row>
    <row r="52" spans="1:6" s="330" customFormat="1" ht="25.5">
      <c r="A52" s="51">
        <v>8</v>
      </c>
      <c r="B52" s="107" t="s">
        <v>682</v>
      </c>
      <c r="C52" s="107" t="s">
        <v>683</v>
      </c>
      <c r="D52" s="69" t="s">
        <v>51</v>
      </c>
      <c r="E52" s="336">
        <v>44432</v>
      </c>
      <c r="F52" s="337" t="s">
        <v>592</v>
      </c>
    </row>
    <row r="53" spans="1:6" s="330" customFormat="1" ht="19.5" customHeight="1">
      <c r="A53" s="51">
        <v>9</v>
      </c>
      <c r="B53" s="107" t="s">
        <v>684</v>
      </c>
      <c r="C53" s="107" t="s">
        <v>680</v>
      </c>
      <c r="D53" s="69" t="s">
        <v>51</v>
      </c>
      <c r="E53" s="336">
        <v>44432</v>
      </c>
      <c r="F53" s="337" t="s">
        <v>592</v>
      </c>
    </row>
    <row r="54" spans="1:6" s="330" customFormat="1" ht="25.5">
      <c r="A54" s="51">
        <v>10</v>
      </c>
      <c r="B54" s="107" t="s">
        <v>685</v>
      </c>
      <c r="C54" s="107" t="s">
        <v>67</v>
      </c>
      <c r="D54" s="69" t="s">
        <v>51</v>
      </c>
      <c r="E54" s="336">
        <v>44432</v>
      </c>
      <c r="F54" s="337" t="s">
        <v>592</v>
      </c>
    </row>
    <row r="55" spans="1:6" s="330" customFormat="1" ht="25.5">
      <c r="A55" s="51">
        <v>11</v>
      </c>
      <c r="B55" s="107" t="s">
        <v>686</v>
      </c>
      <c r="C55" s="107" t="s">
        <v>687</v>
      </c>
      <c r="D55" s="69" t="s">
        <v>51</v>
      </c>
      <c r="E55" s="336">
        <v>44432</v>
      </c>
      <c r="F55" s="337" t="s">
        <v>592</v>
      </c>
    </row>
    <row r="56" spans="1:6" s="330" customFormat="1" ht="25.5">
      <c r="A56" s="51">
        <v>12</v>
      </c>
      <c r="B56" s="107" t="s">
        <v>688</v>
      </c>
      <c r="C56" s="107" t="s">
        <v>687</v>
      </c>
      <c r="D56" s="69" t="s">
        <v>51</v>
      </c>
      <c r="E56" s="336">
        <v>44432</v>
      </c>
      <c r="F56" s="337" t="s">
        <v>592</v>
      </c>
    </row>
    <row r="57" spans="1:6" s="330" customFormat="1" ht="25.5">
      <c r="A57" s="69">
        <v>13</v>
      </c>
      <c r="B57" s="107" t="s">
        <v>689</v>
      </c>
      <c r="C57" s="107" t="s">
        <v>67</v>
      </c>
      <c r="D57" s="69" t="s">
        <v>51</v>
      </c>
      <c r="E57" s="336">
        <v>44432</v>
      </c>
      <c r="F57" s="337" t="s">
        <v>592</v>
      </c>
    </row>
    <row r="58" spans="1:6" s="330" customFormat="1" ht="25.5">
      <c r="A58" s="51">
        <v>14</v>
      </c>
      <c r="B58" s="107" t="s">
        <v>700</v>
      </c>
      <c r="C58" s="107" t="s">
        <v>663</v>
      </c>
      <c r="D58" s="69" t="s">
        <v>51</v>
      </c>
      <c r="E58" s="336">
        <v>44195</v>
      </c>
      <c r="F58" s="337" t="s">
        <v>592</v>
      </c>
    </row>
    <row r="59" spans="1:6" s="330" customFormat="1" ht="25.5">
      <c r="A59" s="51">
        <v>15</v>
      </c>
      <c r="B59" s="107" t="s">
        <v>701</v>
      </c>
      <c r="C59" s="107" t="s">
        <v>702</v>
      </c>
      <c r="D59" s="69" t="s">
        <v>51</v>
      </c>
      <c r="E59" s="336">
        <v>44195</v>
      </c>
      <c r="F59" s="337" t="s">
        <v>592</v>
      </c>
    </row>
    <row r="60" spans="1:6" s="330" customFormat="1" ht="25.5">
      <c r="A60" s="51">
        <v>16</v>
      </c>
      <c r="B60" s="107" t="s">
        <v>703</v>
      </c>
      <c r="C60" s="107" t="s">
        <v>698</v>
      </c>
      <c r="D60" s="69" t="s">
        <v>51</v>
      </c>
      <c r="E60" s="336">
        <v>44195</v>
      </c>
      <c r="F60" s="337" t="s">
        <v>592</v>
      </c>
    </row>
    <row r="61" spans="1:6" s="330" customFormat="1" ht="25.5">
      <c r="A61" s="51">
        <v>17</v>
      </c>
      <c r="B61" s="107" t="s">
        <v>704</v>
      </c>
      <c r="C61" s="107" t="s">
        <v>698</v>
      </c>
      <c r="D61" s="69" t="s">
        <v>51</v>
      </c>
      <c r="E61" s="336">
        <v>44195</v>
      </c>
      <c r="F61" s="337" t="s">
        <v>592</v>
      </c>
    </row>
    <row r="62" spans="1:6" s="330" customFormat="1" ht="25.5">
      <c r="A62" s="51">
        <v>18</v>
      </c>
      <c r="B62" s="107" t="s">
        <v>705</v>
      </c>
      <c r="C62" s="107" t="s">
        <v>692</v>
      </c>
      <c r="D62" s="69" t="s">
        <v>51</v>
      </c>
      <c r="E62" s="336">
        <v>44074</v>
      </c>
      <c r="F62" s="337" t="s">
        <v>592</v>
      </c>
    </row>
    <row r="63" spans="1:6" s="330" customFormat="1" ht="25.5">
      <c r="A63" s="69">
        <v>19</v>
      </c>
      <c r="B63" s="107" t="s">
        <v>707</v>
      </c>
      <c r="C63" s="107" t="s">
        <v>692</v>
      </c>
      <c r="D63" s="69" t="s">
        <v>51</v>
      </c>
      <c r="E63" s="336">
        <v>44074</v>
      </c>
      <c r="F63" s="337" t="s">
        <v>592</v>
      </c>
    </row>
    <row r="64" spans="1:6" s="330" customFormat="1" ht="25.5">
      <c r="A64" s="51">
        <v>20</v>
      </c>
      <c r="B64" s="107" t="s">
        <v>708</v>
      </c>
      <c r="C64" s="107" t="s">
        <v>709</v>
      </c>
      <c r="D64" s="69" t="s">
        <v>51</v>
      </c>
      <c r="E64" s="336">
        <v>44074</v>
      </c>
      <c r="F64" s="337" t="s">
        <v>592</v>
      </c>
    </row>
    <row r="65" spans="1:6" s="330" customFormat="1" ht="25.5">
      <c r="A65" s="51">
        <v>21</v>
      </c>
      <c r="B65" s="107" t="s">
        <v>710</v>
      </c>
      <c r="C65" s="107" t="s">
        <v>563</v>
      </c>
      <c r="D65" s="69" t="s">
        <v>51</v>
      </c>
      <c r="E65" s="336">
        <v>44074</v>
      </c>
      <c r="F65" s="337" t="s">
        <v>592</v>
      </c>
    </row>
    <row r="66" spans="1:6" s="330" customFormat="1" ht="25.5">
      <c r="A66" s="51">
        <v>22</v>
      </c>
      <c r="B66" s="107" t="s">
        <v>711</v>
      </c>
      <c r="C66" s="107" t="s">
        <v>702</v>
      </c>
      <c r="D66" s="69" t="s">
        <v>51</v>
      </c>
      <c r="E66" s="336">
        <v>44074</v>
      </c>
      <c r="F66" s="337" t="s">
        <v>592</v>
      </c>
    </row>
    <row r="67" spans="1:6" s="330" customFormat="1" ht="25.5">
      <c r="A67" s="51">
        <v>23</v>
      </c>
      <c r="B67" s="107" t="s">
        <v>712</v>
      </c>
      <c r="C67" s="107" t="s">
        <v>673</v>
      </c>
      <c r="D67" s="69" t="s">
        <v>51</v>
      </c>
      <c r="E67" s="336">
        <v>44074</v>
      </c>
      <c r="F67" s="337" t="s">
        <v>592</v>
      </c>
    </row>
    <row r="68" spans="1:6" s="330" customFormat="1">
      <c r="A68" s="51">
        <v>24</v>
      </c>
      <c r="B68" s="312" t="s">
        <v>706</v>
      </c>
      <c r="C68" s="107" t="s">
        <v>692</v>
      </c>
      <c r="D68" s="69" t="s">
        <v>51</v>
      </c>
      <c r="E68" s="336">
        <v>44074</v>
      </c>
      <c r="F68" s="337" t="s">
        <v>592</v>
      </c>
    </row>
    <row r="69" spans="1:6" s="330" customFormat="1" ht="25.5">
      <c r="A69" s="69">
        <v>25</v>
      </c>
      <c r="B69" s="107" t="s">
        <v>719</v>
      </c>
      <c r="C69" s="107" t="s">
        <v>67</v>
      </c>
      <c r="D69" s="69" t="s">
        <v>51</v>
      </c>
      <c r="E69" s="336">
        <v>43826</v>
      </c>
      <c r="F69" s="337" t="s">
        <v>592</v>
      </c>
    </row>
    <row r="70" spans="1:6" s="330" customFormat="1" ht="21.75" customHeight="1">
      <c r="A70" s="51">
        <v>26</v>
      </c>
      <c r="B70" s="107" t="s">
        <v>720</v>
      </c>
      <c r="C70" s="107" t="s">
        <v>67</v>
      </c>
      <c r="D70" s="69" t="s">
        <v>51</v>
      </c>
      <c r="E70" s="336">
        <v>43826</v>
      </c>
      <c r="F70" s="337" t="s">
        <v>592</v>
      </c>
    </row>
    <row r="71" spans="1:6" s="330" customFormat="1" ht="21" customHeight="1">
      <c r="A71" s="51">
        <v>27</v>
      </c>
      <c r="B71" s="107" t="s">
        <v>99</v>
      </c>
      <c r="C71" s="107" t="s">
        <v>100</v>
      </c>
      <c r="D71" s="69" t="s">
        <v>51</v>
      </c>
      <c r="E71" s="336">
        <v>43826</v>
      </c>
      <c r="F71" s="337" t="s">
        <v>592</v>
      </c>
    </row>
    <row r="72" spans="1:6" s="330" customFormat="1" ht="25.5">
      <c r="A72" s="51">
        <v>28</v>
      </c>
      <c r="B72" s="107" t="s">
        <v>727</v>
      </c>
      <c r="C72" s="107" t="s">
        <v>53</v>
      </c>
      <c r="D72" s="69" t="s">
        <v>51</v>
      </c>
      <c r="E72" s="336">
        <v>43705</v>
      </c>
      <c r="F72" s="337" t="s">
        <v>592</v>
      </c>
    </row>
    <row r="73" spans="1:6" s="330" customFormat="1" ht="25.5">
      <c r="A73" s="51">
        <v>29</v>
      </c>
      <c r="B73" s="107" t="s">
        <v>728</v>
      </c>
      <c r="C73" s="107" t="s">
        <v>729</v>
      </c>
      <c r="D73" s="69" t="s">
        <v>51</v>
      </c>
      <c r="E73" s="336">
        <v>43705</v>
      </c>
      <c r="F73" s="337" t="s">
        <v>592</v>
      </c>
    </row>
    <row r="74" spans="1:6" s="330" customFormat="1" ht="25.5">
      <c r="A74" s="51">
        <v>30</v>
      </c>
      <c r="B74" s="107" t="s">
        <v>730</v>
      </c>
      <c r="C74" s="107" t="s">
        <v>731</v>
      </c>
      <c r="D74" s="69" t="s">
        <v>51</v>
      </c>
      <c r="E74" s="336">
        <v>43705</v>
      </c>
      <c r="F74" s="337" t="s">
        <v>592</v>
      </c>
    </row>
    <row r="75" spans="1:6" s="330" customFormat="1" ht="25.5">
      <c r="A75" s="69">
        <v>31</v>
      </c>
      <c r="B75" s="107" t="s">
        <v>733</v>
      </c>
      <c r="C75" s="107" t="s">
        <v>596</v>
      </c>
      <c r="D75" s="69" t="s">
        <v>51</v>
      </c>
      <c r="E75" s="336">
        <v>43705</v>
      </c>
      <c r="F75" s="337" t="s">
        <v>592</v>
      </c>
    </row>
    <row r="76" spans="1:6" s="330" customFormat="1">
      <c r="A76" s="51">
        <v>32</v>
      </c>
      <c r="B76" s="107" t="s">
        <v>737</v>
      </c>
      <c r="C76" s="107" t="s">
        <v>673</v>
      </c>
      <c r="D76" s="69" t="s">
        <v>51</v>
      </c>
      <c r="E76" s="336">
        <v>43705</v>
      </c>
      <c r="F76" s="337" t="s">
        <v>592</v>
      </c>
    </row>
    <row r="77" spans="1:6" s="330" customFormat="1" ht="25.5">
      <c r="A77" s="51">
        <v>33</v>
      </c>
      <c r="B77" s="107" t="s">
        <v>738</v>
      </c>
      <c r="C77" s="107" t="s">
        <v>663</v>
      </c>
      <c r="D77" s="69" t="s">
        <v>51</v>
      </c>
      <c r="E77" s="336">
        <v>43705</v>
      </c>
      <c r="F77" s="337" t="s">
        <v>592</v>
      </c>
    </row>
    <row r="78" spans="1:6" s="330" customFormat="1" ht="25.5">
      <c r="A78" s="51">
        <v>34</v>
      </c>
      <c r="B78" s="107" t="s">
        <v>739</v>
      </c>
      <c r="C78" s="107" t="s">
        <v>655</v>
      </c>
      <c r="D78" s="69" t="s">
        <v>51</v>
      </c>
      <c r="E78" s="336">
        <v>43705</v>
      </c>
      <c r="F78" s="337" t="s">
        <v>592</v>
      </c>
    </row>
    <row r="79" spans="1:6" s="330" customFormat="1" ht="25.5">
      <c r="A79" s="51">
        <v>35</v>
      </c>
      <c r="B79" s="107" t="s">
        <v>740</v>
      </c>
      <c r="C79" s="107" t="s">
        <v>673</v>
      </c>
      <c r="D79" s="69" t="s">
        <v>51</v>
      </c>
      <c r="E79" s="336">
        <v>43705</v>
      </c>
      <c r="F79" s="337" t="s">
        <v>592</v>
      </c>
    </row>
    <row r="80" spans="1:6" s="330" customFormat="1" ht="17.25" customHeight="1">
      <c r="A80" s="51">
        <v>36</v>
      </c>
      <c r="B80" s="107" t="s">
        <v>104</v>
      </c>
      <c r="C80" s="107" t="s">
        <v>595</v>
      </c>
      <c r="D80" s="69" t="s">
        <v>51</v>
      </c>
      <c r="E80" s="336">
        <v>43705</v>
      </c>
      <c r="F80" s="337" t="s">
        <v>592</v>
      </c>
    </row>
    <row r="81" spans="1:6" s="330" customFormat="1" ht="17.25" customHeight="1">
      <c r="A81" s="69">
        <v>37</v>
      </c>
      <c r="B81" s="107" t="s">
        <v>746</v>
      </c>
      <c r="C81" s="107" t="s">
        <v>65</v>
      </c>
      <c r="D81" s="69" t="s">
        <v>51</v>
      </c>
      <c r="E81" s="336">
        <v>43705</v>
      </c>
      <c r="F81" s="337" t="s">
        <v>592</v>
      </c>
    </row>
    <row r="82" spans="1:6" s="330" customFormat="1" ht="17.25" customHeight="1">
      <c r="A82" s="51">
        <v>38</v>
      </c>
      <c r="B82" s="107" t="s">
        <v>747</v>
      </c>
      <c r="C82" s="107" t="s">
        <v>67</v>
      </c>
      <c r="D82" s="69" t="s">
        <v>51</v>
      </c>
      <c r="E82" s="336">
        <v>43705</v>
      </c>
      <c r="F82" s="337" t="s">
        <v>592</v>
      </c>
    </row>
    <row r="83" spans="1:6" s="330" customFormat="1" ht="25.5">
      <c r="A83" s="51">
        <v>39</v>
      </c>
      <c r="B83" s="107" t="s">
        <v>748</v>
      </c>
      <c r="C83" s="107" t="s">
        <v>67</v>
      </c>
      <c r="D83" s="69" t="s">
        <v>51</v>
      </c>
      <c r="E83" s="336">
        <v>43705</v>
      </c>
      <c r="F83" s="337" t="s">
        <v>592</v>
      </c>
    </row>
    <row r="84" spans="1:6" s="330" customFormat="1" ht="25.5">
      <c r="A84" s="51">
        <v>40</v>
      </c>
      <c r="B84" s="107" t="s">
        <v>749</v>
      </c>
      <c r="C84" s="107" t="s">
        <v>100</v>
      </c>
      <c r="D84" s="69" t="s">
        <v>51</v>
      </c>
      <c r="E84" s="336">
        <v>43705</v>
      </c>
      <c r="F84" s="337" t="s">
        <v>592</v>
      </c>
    </row>
    <row r="85" spans="1:6" s="330" customFormat="1" ht="25.5">
      <c r="A85" s="51">
        <v>41</v>
      </c>
      <c r="B85" s="107" t="s">
        <v>750</v>
      </c>
      <c r="C85" s="107" t="s">
        <v>87</v>
      </c>
      <c r="D85" s="69" t="s">
        <v>51</v>
      </c>
      <c r="E85" s="336">
        <v>43705</v>
      </c>
      <c r="F85" s="337" t="s">
        <v>592</v>
      </c>
    </row>
    <row r="86" spans="1:6" s="330" customFormat="1" ht="18" customHeight="1">
      <c r="A86" s="51">
        <v>42</v>
      </c>
      <c r="B86" s="107" t="s">
        <v>751</v>
      </c>
      <c r="C86" s="107" t="s">
        <v>595</v>
      </c>
      <c r="D86" s="69" t="s">
        <v>51</v>
      </c>
      <c r="E86" s="336">
        <v>43705</v>
      </c>
      <c r="F86" s="337" t="s">
        <v>592</v>
      </c>
    </row>
    <row r="87" spans="1:6" s="330" customFormat="1" ht="25.5">
      <c r="A87" s="69">
        <v>43</v>
      </c>
      <c r="B87" s="107" t="s">
        <v>95</v>
      </c>
      <c r="C87" s="107" t="s">
        <v>53</v>
      </c>
      <c r="D87" s="69" t="s">
        <v>51</v>
      </c>
      <c r="E87" s="336">
        <v>43460</v>
      </c>
      <c r="F87" s="337" t="s">
        <v>592</v>
      </c>
    </row>
    <row r="88" spans="1:6" s="330" customFormat="1" ht="21" customHeight="1">
      <c r="A88" s="51">
        <v>44</v>
      </c>
      <c r="B88" s="107" t="s">
        <v>199</v>
      </c>
      <c r="C88" s="107" t="s">
        <v>680</v>
      </c>
      <c r="D88" s="69" t="s">
        <v>51</v>
      </c>
      <c r="E88" s="336">
        <v>43460</v>
      </c>
      <c r="F88" s="337" t="s">
        <v>592</v>
      </c>
    </row>
    <row r="89" spans="1:6" s="330" customFormat="1">
      <c r="A89" s="51">
        <v>45</v>
      </c>
      <c r="B89" s="107" t="s">
        <v>83</v>
      </c>
      <c r="C89" s="107" t="s">
        <v>53</v>
      </c>
      <c r="D89" s="69" t="s">
        <v>51</v>
      </c>
      <c r="E89" s="336">
        <v>43460</v>
      </c>
      <c r="F89" s="337" t="s">
        <v>592</v>
      </c>
    </row>
    <row r="90" spans="1:6" s="330" customFormat="1">
      <c r="A90" s="243"/>
      <c r="B90" s="144"/>
      <c r="C90" s="144"/>
      <c r="D90" s="244"/>
      <c r="E90" s="286"/>
      <c r="F90" s="287"/>
    </row>
    <row r="91" spans="1:6" s="330" customFormat="1" ht="25.5">
      <c r="A91" s="51">
        <v>1</v>
      </c>
      <c r="B91" s="62" t="s">
        <v>638</v>
      </c>
      <c r="C91" s="339" t="s">
        <v>53</v>
      </c>
      <c r="D91" s="69" t="s">
        <v>110</v>
      </c>
      <c r="E91" s="336">
        <v>45169</v>
      </c>
      <c r="F91" s="337" t="s">
        <v>597</v>
      </c>
    </row>
    <row r="92" spans="1:6" s="330" customFormat="1" ht="25.5">
      <c r="A92" s="51">
        <v>2</v>
      </c>
      <c r="B92" s="62" t="s">
        <v>639</v>
      </c>
      <c r="C92" s="339" t="s">
        <v>53</v>
      </c>
      <c r="D92" s="69" t="s">
        <v>110</v>
      </c>
      <c r="E92" s="336">
        <v>45169</v>
      </c>
      <c r="F92" s="337" t="s">
        <v>597</v>
      </c>
    </row>
    <row r="93" spans="1:6" s="330" customFormat="1" ht="25.5">
      <c r="A93" s="51">
        <v>3</v>
      </c>
      <c r="B93" s="62" t="s">
        <v>640</v>
      </c>
      <c r="C93" s="107" t="s">
        <v>563</v>
      </c>
      <c r="D93" s="69" t="s">
        <v>110</v>
      </c>
      <c r="E93" s="336">
        <v>45169</v>
      </c>
      <c r="F93" s="337" t="s">
        <v>597</v>
      </c>
    </row>
    <row r="94" spans="1:6" s="330" customFormat="1" ht="25.5">
      <c r="A94" s="51">
        <v>4</v>
      </c>
      <c r="B94" s="62" t="s">
        <v>641</v>
      </c>
      <c r="C94" s="107" t="s">
        <v>600</v>
      </c>
      <c r="D94" s="69" t="s">
        <v>110</v>
      </c>
      <c r="E94" s="336">
        <v>45169</v>
      </c>
      <c r="F94" s="337" t="s">
        <v>597</v>
      </c>
    </row>
    <row r="95" spans="1:6" s="330" customFormat="1" ht="25.5">
      <c r="A95" s="51">
        <v>5</v>
      </c>
      <c r="B95" s="62" t="s">
        <v>642</v>
      </c>
      <c r="C95" s="107" t="s">
        <v>643</v>
      </c>
      <c r="D95" s="69" t="s">
        <v>110</v>
      </c>
      <c r="E95" s="336">
        <v>45169</v>
      </c>
      <c r="F95" s="337" t="s">
        <v>597</v>
      </c>
    </row>
    <row r="96" spans="1:6" s="330" customFormat="1" ht="25.5">
      <c r="A96" s="51">
        <v>6</v>
      </c>
      <c r="B96" s="62" t="s">
        <v>654</v>
      </c>
      <c r="C96" s="107" t="s">
        <v>655</v>
      </c>
      <c r="D96" s="69" t="s">
        <v>110</v>
      </c>
      <c r="E96" s="336">
        <v>44804</v>
      </c>
      <c r="F96" s="337" t="s">
        <v>597</v>
      </c>
    </row>
    <row r="97" spans="1:6" s="330" customFormat="1" ht="25.5">
      <c r="A97" s="51">
        <v>7</v>
      </c>
      <c r="B97" s="62" t="s">
        <v>656</v>
      </c>
      <c r="C97" s="107" t="s">
        <v>657</v>
      </c>
      <c r="D97" s="69" t="s">
        <v>110</v>
      </c>
      <c r="E97" s="336">
        <v>44804</v>
      </c>
      <c r="F97" s="337" t="s">
        <v>597</v>
      </c>
    </row>
    <row r="98" spans="1:6" s="330" customFormat="1" ht="25.5">
      <c r="A98" s="51">
        <v>8</v>
      </c>
      <c r="B98" s="62" t="s">
        <v>658</v>
      </c>
      <c r="C98" s="107" t="s">
        <v>657</v>
      </c>
      <c r="D98" s="69" t="s">
        <v>110</v>
      </c>
      <c r="E98" s="336">
        <v>44804</v>
      </c>
      <c r="F98" s="337" t="s">
        <v>597</v>
      </c>
    </row>
    <row r="99" spans="1:6" s="330" customFormat="1" ht="25.5">
      <c r="A99" s="51">
        <v>9</v>
      </c>
      <c r="B99" s="62" t="s">
        <v>659</v>
      </c>
      <c r="C99" s="107" t="s">
        <v>660</v>
      </c>
      <c r="D99" s="69" t="s">
        <v>110</v>
      </c>
      <c r="E99" s="336">
        <v>44804</v>
      </c>
      <c r="F99" s="337" t="s">
        <v>597</v>
      </c>
    </row>
    <row r="100" spans="1:6" s="330" customFormat="1" ht="25.5">
      <c r="A100" s="51">
        <v>10</v>
      </c>
      <c r="B100" s="62" t="s">
        <v>661</v>
      </c>
      <c r="C100" s="107" t="s">
        <v>655</v>
      </c>
      <c r="D100" s="69" t="s">
        <v>110</v>
      </c>
      <c r="E100" s="336">
        <v>44804</v>
      </c>
      <c r="F100" s="337" t="s">
        <v>597</v>
      </c>
    </row>
    <row r="101" spans="1:6" s="330" customFormat="1" ht="25.5">
      <c r="A101" s="51">
        <v>11</v>
      </c>
      <c r="B101" s="62" t="s">
        <v>666</v>
      </c>
      <c r="C101" s="107" t="s">
        <v>350</v>
      </c>
      <c r="D101" s="69" t="s">
        <v>110</v>
      </c>
      <c r="E101" s="336">
        <v>44559</v>
      </c>
      <c r="F101" s="337" t="s">
        <v>597</v>
      </c>
    </row>
    <row r="102" spans="1:6" s="330" customFormat="1" ht="25.5">
      <c r="A102" s="51">
        <v>12</v>
      </c>
      <c r="B102" s="62" t="s">
        <v>667</v>
      </c>
      <c r="C102" s="107" t="s">
        <v>350</v>
      </c>
      <c r="D102" s="69" t="s">
        <v>110</v>
      </c>
      <c r="E102" s="336">
        <v>44559</v>
      </c>
      <c r="F102" s="337" t="s">
        <v>597</v>
      </c>
    </row>
    <row r="103" spans="1:6" s="330" customFormat="1" ht="25.5">
      <c r="A103" s="51">
        <v>13</v>
      </c>
      <c r="B103" s="62" t="s">
        <v>668</v>
      </c>
      <c r="C103" s="107" t="s">
        <v>669</v>
      </c>
      <c r="D103" s="69" t="s">
        <v>110</v>
      </c>
      <c r="E103" s="336">
        <v>44559</v>
      </c>
      <c r="F103" s="337" t="s">
        <v>597</v>
      </c>
    </row>
    <row r="104" spans="1:6" s="330" customFormat="1" ht="25.5">
      <c r="A104" s="51">
        <v>14</v>
      </c>
      <c r="B104" s="62" t="s">
        <v>670</v>
      </c>
      <c r="C104" s="107" t="s">
        <v>655</v>
      </c>
      <c r="D104" s="69" t="s">
        <v>110</v>
      </c>
      <c r="E104" s="336">
        <v>44559</v>
      </c>
      <c r="F104" s="337" t="s">
        <v>597</v>
      </c>
    </row>
    <row r="105" spans="1:6" s="330" customFormat="1" ht="25.5">
      <c r="A105" s="51">
        <v>15</v>
      </c>
      <c r="B105" s="62" t="s">
        <v>697</v>
      </c>
      <c r="C105" s="107" t="s">
        <v>698</v>
      </c>
      <c r="D105" s="69" t="s">
        <v>110</v>
      </c>
      <c r="E105" s="336">
        <v>44195</v>
      </c>
      <c r="F105" s="337" t="s">
        <v>597</v>
      </c>
    </row>
    <row r="106" spans="1:6" s="330" customFormat="1" ht="25.5">
      <c r="A106" s="51">
        <v>16</v>
      </c>
      <c r="B106" s="62" t="s">
        <v>699</v>
      </c>
      <c r="C106" s="107" t="s">
        <v>673</v>
      </c>
      <c r="D106" s="69" t="s">
        <v>110</v>
      </c>
      <c r="E106" s="336">
        <v>44195</v>
      </c>
      <c r="F106" s="337" t="s">
        <v>597</v>
      </c>
    </row>
    <row r="107" spans="1:6" s="330" customFormat="1" ht="25.5">
      <c r="A107" s="51">
        <v>17</v>
      </c>
      <c r="B107" s="62" t="s">
        <v>713</v>
      </c>
      <c r="C107" s="107" t="s">
        <v>680</v>
      </c>
      <c r="D107" s="69" t="s">
        <v>110</v>
      </c>
      <c r="E107" s="336">
        <v>44068</v>
      </c>
      <c r="F107" s="337" t="s">
        <v>597</v>
      </c>
    </row>
    <row r="108" spans="1:6" s="330" customFormat="1" ht="25.5">
      <c r="A108" s="51">
        <v>18</v>
      </c>
      <c r="B108" s="62" t="s">
        <v>714</v>
      </c>
      <c r="C108" s="107" t="s">
        <v>715</v>
      </c>
      <c r="D108" s="69" t="s">
        <v>110</v>
      </c>
      <c r="E108" s="336">
        <v>44068</v>
      </c>
      <c r="F108" s="337" t="s">
        <v>597</v>
      </c>
    </row>
    <row r="109" spans="1:6" s="330" customFormat="1" ht="19.5" customHeight="1">
      <c r="A109" s="51">
        <v>19</v>
      </c>
      <c r="B109" s="62" t="s">
        <v>721</v>
      </c>
      <c r="C109" s="107" t="s">
        <v>596</v>
      </c>
      <c r="D109" s="69" t="s">
        <v>110</v>
      </c>
      <c r="E109" s="336">
        <v>43830</v>
      </c>
      <c r="F109" s="337" t="s">
        <v>597</v>
      </c>
    </row>
    <row r="110" spans="1:6" s="330" customFormat="1" ht="25.5">
      <c r="A110" s="51">
        <v>20</v>
      </c>
      <c r="B110" s="62" t="s">
        <v>722</v>
      </c>
      <c r="C110" s="107" t="s">
        <v>53</v>
      </c>
      <c r="D110" s="69" t="s">
        <v>110</v>
      </c>
      <c r="E110" s="336">
        <v>43830</v>
      </c>
      <c r="F110" s="337" t="s">
        <v>597</v>
      </c>
    </row>
    <row r="111" spans="1:6" s="330" customFormat="1" ht="19.5" customHeight="1">
      <c r="A111" s="51">
        <v>21</v>
      </c>
      <c r="B111" s="62" t="s">
        <v>122</v>
      </c>
      <c r="C111" s="107" t="s">
        <v>67</v>
      </c>
      <c r="D111" s="69" t="s">
        <v>110</v>
      </c>
      <c r="E111" s="336">
        <v>43830</v>
      </c>
      <c r="F111" s="337" t="s">
        <v>597</v>
      </c>
    </row>
    <row r="112" spans="1:6" s="330" customFormat="1" ht="19.5" customHeight="1">
      <c r="A112" s="51">
        <v>22</v>
      </c>
      <c r="B112" s="62" t="s">
        <v>726</v>
      </c>
      <c r="C112" s="107" t="s">
        <v>82</v>
      </c>
      <c r="D112" s="69" t="s">
        <v>110</v>
      </c>
      <c r="E112" s="336">
        <v>43705</v>
      </c>
      <c r="F112" s="337" t="s">
        <v>597</v>
      </c>
    </row>
    <row r="113" spans="1:6" s="330" customFormat="1" ht="19.5" customHeight="1">
      <c r="A113" s="51">
        <v>23</v>
      </c>
      <c r="B113" s="62" t="s">
        <v>120</v>
      </c>
      <c r="C113" s="107" t="s">
        <v>731</v>
      </c>
      <c r="D113" s="69" t="s">
        <v>110</v>
      </c>
      <c r="E113" s="336">
        <v>43706</v>
      </c>
      <c r="F113" s="337" t="s">
        <v>597</v>
      </c>
    </row>
    <row r="114" spans="1:6" s="330" customFormat="1" ht="19.5" customHeight="1">
      <c r="A114" s="51">
        <v>24</v>
      </c>
      <c r="B114" s="63" t="s">
        <v>732</v>
      </c>
      <c r="C114" s="107" t="s">
        <v>731</v>
      </c>
      <c r="D114" s="69" t="s">
        <v>110</v>
      </c>
      <c r="E114" s="336">
        <v>43706</v>
      </c>
      <c r="F114" s="337" t="s">
        <v>597</v>
      </c>
    </row>
    <row r="115" spans="1:6" s="330" customFormat="1" ht="19.5" customHeight="1">
      <c r="A115" s="51">
        <v>25</v>
      </c>
      <c r="B115" s="62" t="s">
        <v>741</v>
      </c>
      <c r="C115" s="107" t="s">
        <v>742</v>
      </c>
      <c r="D115" s="69" t="s">
        <v>110</v>
      </c>
      <c r="E115" s="336">
        <v>43706</v>
      </c>
      <c r="F115" s="337" t="s">
        <v>597</v>
      </c>
    </row>
    <row r="116" spans="1:6" s="330" customFormat="1" ht="19.5" customHeight="1">
      <c r="A116" s="51">
        <v>26</v>
      </c>
      <c r="B116" s="62" t="s">
        <v>743</v>
      </c>
      <c r="C116" s="107" t="s">
        <v>673</v>
      </c>
      <c r="D116" s="69" t="s">
        <v>110</v>
      </c>
      <c r="E116" s="336">
        <v>43706</v>
      </c>
      <c r="F116" s="337" t="s">
        <v>597</v>
      </c>
    </row>
    <row r="117" spans="1:6" s="330" customFormat="1" ht="25.5">
      <c r="A117" s="51">
        <v>27</v>
      </c>
      <c r="B117" s="62" t="s">
        <v>744</v>
      </c>
      <c r="C117" s="107" t="s">
        <v>673</v>
      </c>
      <c r="D117" s="69" t="s">
        <v>110</v>
      </c>
      <c r="E117" s="336">
        <v>43706</v>
      </c>
      <c r="F117" s="337" t="s">
        <v>597</v>
      </c>
    </row>
    <row r="118" spans="1:6" s="330" customFormat="1" ht="19.5" customHeight="1">
      <c r="A118" s="51">
        <v>28</v>
      </c>
      <c r="B118" s="62" t="s">
        <v>115</v>
      </c>
      <c r="C118" s="107" t="s">
        <v>745</v>
      </c>
      <c r="D118" s="69" t="s">
        <v>110</v>
      </c>
      <c r="E118" s="336">
        <v>43706</v>
      </c>
      <c r="F118" s="337" t="s">
        <v>597</v>
      </c>
    </row>
    <row r="119" spans="1:6" s="330" customFormat="1" ht="25.5">
      <c r="A119" s="51">
        <v>29</v>
      </c>
      <c r="B119" s="62" t="s">
        <v>752</v>
      </c>
      <c r="C119" s="107" t="s">
        <v>87</v>
      </c>
      <c r="D119" s="69" t="s">
        <v>110</v>
      </c>
      <c r="E119" s="336">
        <v>43706</v>
      </c>
      <c r="F119" s="337" t="s">
        <v>597</v>
      </c>
    </row>
    <row r="120" spans="1:6" s="330" customFormat="1" ht="25.5">
      <c r="A120" s="51">
        <v>30</v>
      </c>
      <c r="B120" s="62" t="s">
        <v>753</v>
      </c>
      <c r="C120" s="107" t="s">
        <v>87</v>
      </c>
      <c r="D120" s="69" t="s">
        <v>110</v>
      </c>
      <c r="E120" s="336">
        <v>43706</v>
      </c>
      <c r="F120" s="337" t="s">
        <v>597</v>
      </c>
    </row>
    <row r="121" spans="1:6" s="330" customFormat="1" ht="20.25" customHeight="1">
      <c r="A121" s="51">
        <v>31</v>
      </c>
      <c r="B121" s="62" t="s">
        <v>758</v>
      </c>
      <c r="C121" s="107" t="s">
        <v>53</v>
      </c>
      <c r="D121" s="69" t="s">
        <v>110</v>
      </c>
      <c r="E121" s="336">
        <v>43461</v>
      </c>
      <c r="F121" s="337" t="s">
        <v>597</v>
      </c>
    </row>
    <row r="122" spans="1:6" s="330" customFormat="1" ht="25.5">
      <c r="A122" s="51">
        <v>32</v>
      </c>
      <c r="B122" s="62" t="s">
        <v>759</v>
      </c>
      <c r="C122" s="107" t="s">
        <v>655</v>
      </c>
      <c r="D122" s="69" t="s">
        <v>110</v>
      </c>
      <c r="E122" s="336">
        <v>43706</v>
      </c>
      <c r="F122" s="337" t="s">
        <v>597</v>
      </c>
    </row>
    <row r="123" spans="1:6" s="330" customFormat="1">
      <c r="A123" s="243"/>
      <c r="B123" s="281"/>
      <c r="C123" s="144"/>
      <c r="D123" s="244"/>
      <c r="E123" s="286"/>
      <c r="F123" s="287"/>
    </row>
    <row r="124" spans="1:6" s="330" customFormat="1" ht="25.5">
      <c r="A124" s="51">
        <v>1</v>
      </c>
      <c r="B124" s="104" t="s">
        <v>644</v>
      </c>
      <c r="C124" s="107" t="s">
        <v>53</v>
      </c>
      <c r="D124" s="69" t="s">
        <v>127</v>
      </c>
      <c r="E124" s="336">
        <v>45169</v>
      </c>
      <c r="F124" s="337" t="s">
        <v>601</v>
      </c>
    </row>
    <row r="125" spans="1:6" s="330" customFormat="1">
      <c r="A125" s="51">
        <v>2</v>
      </c>
      <c r="B125" s="104" t="s">
        <v>645</v>
      </c>
      <c r="C125" s="107" t="s">
        <v>594</v>
      </c>
      <c r="D125" s="69" t="s">
        <v>127</v>
      </c>
      <c r="E125" s="336">
        <v>45169</v>
      </c>
      <c r="F125" s="337" t="s">
        <v>601</v>
      </c>
    </row>
    <row r="126" spans="1:6" s="330" customFormat="1" ht="25.5">
      <c r="A126" s="51">
        <v>3</v>
      </c>
      <c r="B126" s="107" t="s">
        <v>646</v>
      </c>
      <c r="C126" s="107" t="s">
        <v>594</v>
      </c>
      <c r="D126" s="69" t="s">
        <v>127</v>
      </c>
      <c r="E126" s="336">
        <v>45169</v>
      </c>
      <c r="F126" s="337" t="s">
        <v>601</v>
      </c>
    </row>
    <row r="127" spans="1:6" s="330" customFormat="1" ht="25.5">
      <c r="A127" s="51">
        <v>4</v>
      </c>
      <c r="B127" s="107" t="s">
        <v>647</v>
      </c>
      <c r="C127" s="107" t="s">
        <v>53</v>
      </c>
      <c r="D127" s="69" t="s">
        <v>127</v>
      </c>
      <c r="E127" s="336">
        <v>45169</v>
      </c>
      <c r="F127" s="337" t="s">
        <v>601</v>
      </c>
    </row>
    <row r="128" spans="1:6" s="330" customFormat="1" ht="25.5">
      <c r="A128" s="51">
        <v>5</v>
      </c>
      <c r="B128" s="107" t="s">
        <v>648</v>
      </c>
      <c r="C128" s="107" t="s">
        <v>599</v>
      </c>
      <c r="D128" s="69" t="s">
        <v>127</v>
      </c>
      <c r="E128" s="336">
        <v>45169</v>
      </c>
      <c r="F128" s="337" t="s">
        <v>601</v>
      </c>
    </row>
    <row r="129" spans="1:6" s="330" customFormat="1" ht="25.5">
      <c r="A129" s="51">
        <v>6</v>
      </c>
      <c r="B129" s="107" t="s">
        <v>649</v>
      </c>
      <c r="C129" s="107" t="s">
        <v>598</v>
      </c>
      <c r="D129" s="69" t="s">
        <v>127</v>
      </c>
      <c r="E129" s="336">
        <v>45169</v>
      </c>
      <c r="F129" s="337" t="s">
        <v>601</v>
      </c>
    </row>
    <row r="130" spans="1:6" s="330" customFormat="1" ht="25.5">
      <c r="A130" s="51">
        <v>7</v>
      </c>
      <c r="B130" s="107" t="s">
        <v>650</v>
      </c>
      <c r="C130" s="107" t="s">
        <v>600</v>
      </c>
      <c r="D130" s="69" t="s">
        <v>127</v>
      </c>
      <c r="E130" s="336">
        <v>45169</v>
      </c>
      <c r="F130" s="337" t="s">
        <v>601</v>
      </c>
    </row>
    <row r="131" spans="1:6" s="330" customFormat="1" ht="25.5">
      <c r="A131" s="51">
        <v>8</v>
      </c>
      <c r="B131" s="107" t="s">
        <v>651</v>
      </c>
      <c r="C131" s="107" t="s">
        <v>55</v>
      </c>
      <c r="D131" s="69" t="s">
        <v>127</v>
      </c>
      <c r="E131" s="336">
        <v>45169</v>
      </c>
      <c r="F131" s="337" t="s">
        <v>601</v>
      </c>
    </row>
    <row r="132" spans="1:6" s="330" customFormat="1" ht="25.5">
      <c r="A132" s="51">
        <v>9</v>
      </c>
      <c r="B132" s="107" t="s">
        <v>652</v>
      </c>
      <c r="C132" s="107" t="s">
        <v>595</v>
      </c>
      <c r="D132" s="69" t="s">
        <v>127</v>
      </c>
      <c r="E132" s="336">
        <v>44804</v>
      </c>
      <c r="F132" s="337" t="s">
        <v>601</v>
      </c>
    </row>
    <row r="133" spans="1:6" s="330" customFormat="1" ht="25.5">
      <c r="A133" s="51">
        <v>10</v>
      </c>
      <c r="B133" s="107" t="s">
        <v>653</v>
      </c>
      <c r="C133" s="107" t="s">
        <v>584</v>
      </c>
      <c r="D133" s="69" t="s">
        <v>127</v>
      </c>
      <c r="E133" s="336">
        <v>44804</v>
      </c>
      <c r="F133" s="337" t="s">
        <v>601</v>
      </c>
    </row>
    <row r="134" spans="1:6" s="330" customFormat="1" ht="25.5">
      <c r="A134" s="51">
        <v>11</v>
      </c>
      <c r="B134" s="107" t="s">
        <v>671</v>
      </c>
      <c r="C134" s="107" t="s">
        <v>672</v>
      </c>
      <c r="D134" s="69" t="s">
        <v>127</v>
      </c>
      <c r="E134" s="336">
        <v>44559</v>
      </c>
      <c r="F134" s="337" t="s">
        <v>601</v>
      </c>
    </row>
    <row r="135" spans="1:6" s="330" customFormat="1" ht="25.5">
      <c r="A135" s="51">
        <v>12</v>
      </c>
      <c r="B135" s="107" t="s">
        <v>674</v>
      </c>
      <c r="C135" s="107" t="s">
        <v>663</v>
      </c>
      <c r="D135" s="69" t="s">
        <v>127</v>
      </c>
      <c r="E135" s="336">
        <v>44559</v>
      </c>
      <c r="F135" s="337" t="s">
        <v>601</v>
      </c>
    </row>
    <row r="136" spans="1:6" s="330" customFormat="1" ht="25.5">
      <c r="A136" s="51">
        <v>13</v>
      </c>
      <c r="B136" s="107" t="s">
        <v>675</v>
      </c>
      <c r="C136" s="107" t="s">
        <v>669</v>
      </c>
      <c r="D136" s="69" t="s">
        <v>127</v>
      </c>
      <c r="E136" s="69" t="s">
        <v>678</v>
      </c>
      <c r="F136" s="337" t="s">
        <v>601</v>
      </c>
    </row>
    <row r="137" spans="1:6" s="330" customFormat="1" ht="25.5">
      <c r="A137" s="51">
        <v>14</v>
      </c>
      <c r="B137" s="107" t="s">
        <v>676</v>
      </c>
      <c r="C137" s="107" t="s">
        <v>677</v>
      </c>
      <c r="D137" s="69" t="s">
        <v>127</v>
      </c>
      <c r="E137" s="69" t="s">
        <v>678</v>
      </c>
      <c r="F137" s="337" t="s">
        <v>601</v>
      </c>
    </row>
    <row r="138" spans="1:6" s="330" customFormat="1" ht="25.5">
      <c r="A138" s="51">
        <v>15</v>
      </c>
      <c r="B138" s="107" t="s">
        <v>690</v>
      </c>
      <c r="C138" s="107" t="s">
        <v>82</v>
      </c>
      <c r="D138" s="69" t="s">
        <v>127</v>
      </c>
      <c r="E138" s="336">
        <v>44195</v>
      </c>
      <c r="F138" s="337" t="s">
        <v>601</v>
      </c>
    </row>
    <row r="139" spans="1:6" s="330" customFormat="1" ht="25.5">
      <c r="A139" s="51">
        <v>16</v>
      </c>
      <c r="B139" s="107" t="s">
        <v>691</v>
      </c>
      <c r="C139" s="107" t="s">
        <v>692</v>
      </c>
      <c r="D139" s="69" t="s">
        <v>127</v>
      </c>
      <c r="E139" s="336">
        <v>44195</v>
      </c>
      <c r="F139" s="337" t="s">
        <v>601</v>
      </c>
    </row>
    <row r="140" spans="1:6" s="330" customFormat="1" ht="25.5">
      <c r="A140" s="51">
        <v>17</v>
      </c>
      <c r="B140" s="107" t="s">
        <v>693</v>
      </c>
      <c r="C140" s="107" t="s">
        <v>663</v>
      </c>
      <c r="D140" s="69" t="s">
        <v>127</v>
      </c>
      <c r="E140" s="336">
        <v>44195</v>
      </c>
      <c r="F140" s="337" t="s">
        <v>601</v>
      </c>
    </row>
    <row r="141" spans="1:6" s="330" customFormat="1" ht="25.5">
      <c r="A141" s="51">
        <v>18</v>
      </c>
      <c r="B141" s="107" t="s">
        <v>694</v>
      </c>
      <c r="C141" s="107" t="s">
        <v>663</v>
      </c>
      <c r="D141" s="69" t="s">
        <v>127</v>
      </c>
      <c r="E141" s="336">
        <v>44195</v>
      </c>
      <c r="F141" s="337" t="s">
        <v>601</v>
      </c>
    </row>
    <row r="142" spans="1:6" s="330" customFormat="1" ht="25.5">
      <c r="A142" s="51">
        <v>19</v>
      </c>
      <c r="B142" s="107" t="s">
        <v>695</v>
      </c>
      <c r="C142" s="107" t="s">
        <v>696</v>
      </c>
      <c r="D142" s="69" t="s">
        <v>127</v>
      </c>
      <c r="E142" s="336">
        <v>44195</v>
      </c>
      <c r="F142" s="337" t="s">
        <v>601</v>
      </c>
    </row>
    <row r="143" spans="1:6" s="330" customFormat="1" ht="25.5">
      <c r="A143" s="51">
        <v>20</v>
      </c>
      <c r="B143" s="62" t="s">
        <v>716</v>
      </c>
      <c r="C143" s="107" t="s">
        <v>663</v>
      </c>
      <c r="D143" s="69" t="s">
        <v>110</v>
      </c>
      <c r="E143" s="336">
        <v>44068</v>
      </c>
      <c r="F143" s="337" t="s">
        <v>601</v>
      </c>
    </row>
    <row r="144" spans="1:6" s="330" customFormat="1" ht="18" customHeight="1">
      <c r="A144" s="51">
        <v>21</v>
      </c>
      <c r="B144" s="107" t="s">
        <v>723</v>
      </c>
      <c r="C144" s="107" t="s">
        <v>53</v>
      </c>
      <c r="D144" s="69" t="s">
        <v>127</v>
      </c>
      <c r="E144" s="336">
        <v>43829</v>
      </c>
      <c r="F144" s="337" t="s">
        <v>601</v>
      </c>
    </row>
    <row r="145" spans="1:6" s="330" customFormat="1" ht="18" customHeight="1">
      <c r="A145" s="51">
        <v>22</v>
      </c>
      <c r="B145" s="107" t="s">
        <v>129</v>
      </c>
      <c r="C145" s="107" t="s">
        <v>53</v>
      </c>
      <c r="D145" s="69" t="s">
        <v>127</v>
      </c>
      <c r="E145" s="336">
        <v>43705</v>
      </c>
      <c r="F145" s="337" t="s">
        <v>601</v>
      </c>
    </row>
    <row r="146" spans="1:6" s="330" customFormat="1" ht="18" customHeight="1">
      <c r="A146" s="51">
        <v>23</v>
      </c>
      <c r="B146" s="107" t="s">
        <v>559</v>
      </c>
      <c r="C146" s="107" t="s">
        <v>53</v>
      </c>
      <c r="D146" s="69" t="s">
        <v>127</v>
      </c>
      <c r="E146" s="336">
        <v>43705</v>
      </c>
      <c r="F146" s="337" t="s">
        <v>601</v>
      </c>
    </row>
    <row r="147" spans="1:6" s="330" customFormat="1" ht="18" customHeight="1">
      <c r="A147" s="51">
        <v>24</v>
      </c>
      <c r="B147" s="107" t="s">
        <v>724</v>
      </c>
      <c r="C147" s="107" t="s">
        <v>53</v>
      </c>
      <c r="D147" s="69" t="s">
        <v>127</v>
      </c>
      <c r="E147" s="336">
        <v>43705</v>
      </c>
      <c r="F147" s="337" t="s">
        <v>601</v>
      </c>
    </row>
    <row r="148" spans="1:6" s="330" customFormat="1" ht="25.5">
      <c r="A148" s="51">
        <v>25</v>
      </c>
      <c r="B148" s="107" t="s">
        <v>725</v>
      </c>
      <c r="C148" s="107" t="s">
        <v>655</v>
      </c>
      <c r="D148" s="69" t="s">
        <v>127</v>
      </c>
      <c r="E148" s="336">
        <v>43705</v>
      </c>
      <c r="F148" s="337" t="s">
        <v>601</v>
      </c>
    </row>
    <row r="149" spans="1:6" s="330" customFormat="1" ht="25.5">
      <c r="A149" s="51">
        <v>26</v>
      </c>
      <c r="B149" s="107" t="s">
        <v>734</v>
      </c>
      <c r="C149" s="107" t="s">
        <v>563</v>
      </c>
      <c r="D149" s="69" t="s">
        <v>127</v>
      </c>
      <c r="E149" s="336">
        <v>43705</v>
      </c>
      <c r="F149" s="337" t="s">
        <v>601</v>
      </c>
    </row>
    <row r="150" spans="1:6" s="330" customFormat="1" ht="25.5">
      <c r="A150" s="51">
        <v>27</v>
      </c>
      <c r="B150" s="107" t="s">
        <v>735</v>
      </c>
      <c r="C150" s="107" t="s">
        <v>736</v>
      </c>
      <c r="D150" s="69" t="s">
        <v>127</v>
      </c>
      <c r="E150" s="336">
        <v>43705</v>
      </c>
      <c r="F150" s="337" t="s">
        <v>601</v>
      </c>
    </row>
    <row r="151" spans="1:6" s="330" customFormat="1" ht="19.5" customHeight="1">
      <c r="A151" s="51">
        <v>28</v>
      </c>
      <c r="B151" s="107" t="s">
        <v>754</v>
      </c>
      <c r="C151" s="107" t="s">
        <v>755</v>
      </c>
      <c r="D151" s="69" t="s">
        <v>127</v>
      </c>
      <c r="E151" s="336">
        <v>43419</v>
      </c>
      <c r="F151" s="337" t="s">
        <v>601</v>
      </c>
    </row>
    <row r="152" spans="1:6" s="330" customFormat="1" ht="25.5">
      <c r="A152" s="51">
        <v>29</v>
      </c>
      <c r="B152" s="107" t="s">
        <v>756</v>
      </c>
      <c r="C152" s="107" t="s">
        <v>53</v>
      </c>
      <c r="D152" s="69" t="s">
        <v>127</v>
      </c>
      <c r="E152" s="336">
        <v>43419</v>
      </c>
      <c r="F152" s="337" t="s">
        <v>601</v>
      </c>
    </row>
    <row r="153" spans="1:6" s="330" customFormat="1" ht="25.5">
      <c r="A153" s="51">
        <v>30</v>
      </c>
      <c r="B153" s="107" t="s">
        <v>757</v>
      </c>
      <c r="C153" s="107" t="s">
        <v>53</v>
      </c>
      <c r="D153" s="69" t="s">
        <v>127</v>
      </c>
      <c r="E153" s="336">
        <v>43419</v>
      </c>
      <c r="F153" s="337" t="s">
        <v>601</v>
      </c>
    </row>
    <row r="154" spans="1:6" s="330" customFormat="1">
      <c r="A154" s="243"/>
      <c r="B154" s="144"/>
      <c r="C154" s="144"/>
      <c r="D154" s="244"/>
      <c r="E154" s="288"/>
      <c r="F154" s="287"/>
    </row>
    <row r="156" spans="1:6">
      <c r="B156" s="285" t="s">
        <v>762</v>
      </c>
      <c r="C156" s="276"/>
      <c r="D156" s="276"/>
    </row>
  </sheetData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O91"/>
    </sheetView>
  </sheetViews>
  <sheetFormatPr defaultRowHeight="12.75"/>
  <cols>
    <col min="1" max="1" width="3.140625" customWidth="1"/>
    <col min="2" max="2" width="21.7109375" customWidth="1"/>
    <col min="3" max="3" width="11.85546875" customWidth="1"/>
    <col min="4" max="4" width="10.7109375" customWidth="1"/>
    <col min="5" max="15" width="7.5703125" customWidth="1"/>
  </cols>
  <sheetData>
    <row r="1" spans="1:15">
      <c r="B1" s="598" t="s">
        <v>813</v>
      </c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</row>
    <row r="2" spans="1:15">
      <c r="B2" s="598" t="s">
        <v>814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4" spans="1:15" ht="25.5">
      <c r="A4" s="282" t="s">
        <v>10</v>
      </c>
      <c r="B4" s="282" t="s">
        <v>11</v>
      </c>
      <c r="C4" s="282" t="s">
        <v>624</v>
      </c>
      <c r="D4" s="283" t="s">
        <v>625</v>
      </c>
      <c r="E4" s="282">
        <v>1</v>
      </c>
      <c r="F4" s="282">
        <v>2</v>
      </c>
      <c r="G4" s="282">
        <v>3</v>
      </c>
      <c r="H4" s="282">
        <v>4</v>
      </c>
      <c r="I4" s="282">
        <v>5</v>
      </c>
      <c r="J4" s="282">
        <v>6</v>
      </c>
      <c r="K4" s="282">
        <v>7</v>
      </c>
      <c r="L4" s="282">
        <v>8</v>
      </c>
      <c r="M4" s="282">
        <v>9</v>
      </c>
      <c r="N4" s="282">
        <v>10</v>
      </c>
      <c r="O4" s="282">
        <v>11</v>
      </c>
    </row>
    <row r="5" spans="1:15" s="332" customFormat="1" ht="15" customHeight="1">
      <c r="A5" s="394">
        <v>1</v>
      </c>
      <c r="B5" s="234" t="s">
        <v>194</v>
      </c>
      <c r="C5" s="383" t="s">
        <v>100</v>
      </c>
      <c r="D5" s="384">
        <v>8</v>
      </c>
      <c r="E5" s="384"/>
      <c r="F5" s="384"/>
      <c r="G5" s="384"/>
      <c r="H5" s="384"/>
      <c r="I5" s="384"/>
      <c r="J5" s="384"/>
      <c r="K5" s="384">
        <v>8</v>
      </c>
      <c r="L5" s="384"/>
      <c r="M5" s="384"/>
      <c r="N5" s="384"/>
      <c r="O5" s="384"/>
    </row>
    <row r="6" spans="1:15" s="332" customFormat="1" ht="15" customHeight="1">
      <c r="A6" s="395">
        <v>2</v>
      </c>
      <c r="B6" s="62" t="s">
        <v>52</v>
      </c>
      <c r="C6" s="385" t="s">
        <v>53</v>
      </c>
      <c r="D6" s="386">
        <v>16</v>
      </c>
      <c r="E6" s="386">
        <v>16</v>
      </c>
      <c r="F6" s="386"/>
      <c r="G6" s="386"/>
      <c r="H6" s="386"/>
      <c r="I6" s="386"/>
      <c r="J6" s="386"/>
      <c r="K6" s="386"/>
      <c r="L6" s="386"/>
      <c r="M6" s="386"/>
      <c r="N6" s="386"/>
      <c r="O6" s="386"/>
    </row>
    <row r="7" spans="1:15" s="332" customFormat="1" ht="15" customHeight="1">
      <c r="A7" s="394">
        <v>4</v>
      </c>
      <c r="B7" s="216" t="s">
        <v>54</v>
      </c>
      <c r="C7" s="387" t="s">
        <v>55</v>
      </c>
      <c r="D7" s="384">
        <v>23</v>
      </c>
      <c r="E7" s="384"/>
      <c r="F7" s="384">
        <v>2</v>
      </c>
      <c r="G7" s="384"/>
      <c r="H7" s="384">
        <v>2</v>
      </c>
      <c r="I7" s="384">
        <v>3</v>
      </c>
      <c r="J7" s="384">
        <v>3</v>
      </c>
      <c r="K7" s="384"/>
      <c r="L7" s="384">
        <v>3</v>
      </c>
      <c r="M7" s="384">
        <v>6</v>
      </c>
      <c r="N7" s="384">
        <v>2</v>
      </c>
      <c r="O7" s="384">
        <v>2</v>
      </c>
    </row>
    <row r="8" spans="1:15" s="332" customFormat="1" ht="15" customHeight="1">
      <c r="A8" s="394">
        <v>5</v>
      </c>
      <c r="B8" s="62" t="s">
        <v>58</v>
      </c>
      <c r="C8" s="388" t="s">
        <v>55</v>
      </c>
      <c r="D8" s="384">
        <v>24</v>
      </c>
      <c r="E8" s="384"/>
      <c r="F8" s="384"/>
      <c r="G8" s="384"/>
      <c r="H8" s="384"/>
      <c r="I8" s="384">
        <v>9</v>
      </c>
      <c r="J8" s="384">
        <v>12</v>
      </c>
      <c r="K8" s="384"/>
      <c r="L8" s="384">
        <v>3</v>
      </c>
      <c r="M8" s="384"/>
      <c r="N8" s="384"/>
      <c r="O8" s="384"/>
    </row>
    <row r="9" spans="1:15" s="332" customFormat="1" ht="15" customHeight="1">
      <c r="A9" s="394">
        <v>6</v>
      </c>
      <c r="B9" s="216" t="s">
        <v>59</v>
      </c>
      <c r="C9" s="388" t="s">
        <v>594</v>
      </c>
      <c r="D9" s="384">
        <v>18</v>
      </c>
      <c r="E9" s="384"/>
      <c r="F9" s="384"/>
      <c r="G9" s="384"/>
      <c r="H9" s="384"/>
      <c r="I9" s="384"/>
      <c r="J9" s="384">
        <v>3</v>
      </c>
      <c r="K9" s="384">
        <v>3</v>
      </c>
      <c r="L9" s="384"/>
      <c r="M9" s="384">
        <v>3</v>
      </c>
      <c r="N9" s="384">
        <v>4</v>
      </c>
      <c r="O9" s="384">
        <v>5</v>
      </c>
    </row>
    <row r="10" spans="1:15" s="332" customFormat="1" ht="15" customHeight="1">
      <c r="A10" s="394">
        <v>7</v>
      </c>
      <c r="B10" s="216" t="s">
        <v>62</v>
      </c>
      <c r="C10" s="388" t="s">
        <v>594</v>
      </c>
      <c r="D10" s="384">
        <v>17</v>
      </c>
      <c r="E10" s="384"/>
      <c r="F10" s="384"/>
      <c r="G10" s="384">
        <v>2</v>
      </c>
      <c r="H10" s="384"/>
      <c r="I10" s="384"/>
      <c r="J10" s="384"/>
      <c r="K10" s="384">
        <v>6</v>
      </c>
      <c r="L10" s="384"/>
      <c r="M10" s="384"/>
      <c r="N10" s="384">
        <v>9</v>
      </c>
      <c r="O10" s="384"/>
    </row>
    <row r="11" spans="1:15" s="332" customFormat="1" ht="15" customHeight="1">
      <c r="A11" s="394">
        <v>8</v>
      </c>
      <c r="B11" s="216" t="s">
        <v>63</v>
      </c>
      <c r="C11" s="388" t="s">
        <v>53</v>
      </c>
      <c r="D11" s="384">
        <v>8</v>
      </c>
      <c r="E11" s="384"/>
      <c r="F11" s="384">
        <v>8</v>
      </c>
      <c r="G11" s="384"/>
      <c r="H11" s="384"/>
      <c r="I11" s="384"/>
      <c r="J11" s="384"/>
      <c r="K11" s="384"/>
      <c r="L11" s="384"/>
      <c r="M11" s="384"/>
      <c r="N11" s="384"/>
      <c r="O11" s="384"/>
    </row>
    <row r="12" spans="1:15" s="332" customFormat="1" ht="15" customHeight="1">
      <c r="A12" s="394">
        <v>9</v>
      </c>
      <c r="B12" s="216" t="s">
        <v>64</v>
      </c>
      <c r="C12" s="387" t="s">
        <v>65</v>
      </c>
      <c r="D12" s="384">
        <v>19</v>
      </c>
      <c r="E12" s="384"/>
      <c r="F12" s="384"/>
      <c r="G12" s="384"/>
      <c r="H12" s="384"/>
      <c r="I12" s="384"/>
      <c r="J12" s="384"/>
      <c r="K12" s="384">
        <v>2</v>
      </c>
      <c r="L12" s="384">
        <v>4</v>
      </c>
      <c r="M12" s="384">
        <v>4</v>
      </c>
      <c r="N12" s="384">
        <v>5</v>
      </c>
      <c r="O12" s="384">
        <v>4</v>
      </c>
    </row>
    <row r="13" spans="1:15" s="332" customFormat="1" ht="15" customHeight="1">
      <c r="A13" s="394">
        <v>10</v>
      </c>
      <c r="B13" s="216" t="s">
        <v>66</v>
      </c>
      <c r="C13" s="388" t="s">
        <v>593</v>
      </c>
      <c r="D13" s="384">
        <v>16</v>
      </c>
      <c r="E13" s="384"/>
      <c r="F13" s="384"/>
      <c r="G13" s="384"/>
      <c r="H13" s="384"/>
      <c r="I13" s="384"/>
      <c r="J13" s="384"/>
      <c r="K13" s="384"/>
      <c r="L13" s="384">
        <v>5</v>
      </c>
      <c r="M13" s="384">
        <v>8</v>
      </c>
      <c r="N13" s="384">
        <v>3</v>
      </c>
      <c r="O13" s="384"/>
    </row>
    <row r="14" spans="1:15" s="332" customFormat="1" ht="15" customHeight="1">
      <c r="A14" s="394">
        <v>11.3611111111111</v>
      </c>
      <c r="B14" s="216" t="s">
        <v>68</v>
      </c>
      <c r="C14" s="388" t="s">
        <v>593</v>
      </c>
      <c r="D14" s="384">
        <v>18</v>
      </c>
      <c r="E14" s="384"/>
      <c r="F14" s="384"/>
      <c r="G14" s="384"/>
      <c r="H14" s="384"/>
      <c r="I14" s="384">
        <v>6</v>
      </c>
      <c r="J14" s="384">
        <v>2</v>
      </c>
      <c r="K14" s="384">
        <v>2</v>
      </c>
      <c r="L14" s="384"/>
      <c r="M14" s="384">
        <v>2</v>
      </c>
      <c r="N14" s="384">
        <v>6</v>
      </c>
      <c r="O14" s="384"/>
    </row>
    <row r="15" spans="1:15" s="332" customFormat="1" ht="15" customHeight="1">
      <c r="A15" s="395">
        <v>12.477777777777799</v>
      </c>
      <c r="B15" s="216" t="s">
        <v>69</v>
      </c>
      <c r="C15" s="388" t="s">
        <v>593</v>
      </c>
      <c r="D15" s="384">
        <v>16</v>
      </c>
      <c r="E15" s="384"/>
      <c r="F15" s="384"/>
      <c r="G15" s="384"/>
      <c r="H15" s="384"/>
      <c r="I15" s="384"/>
      <c r="J15" s="384"/>
      <c r="K15" s="384">
        <v>3</v>
      </c>
      <c r="L15" s="384">
        <v>5</v>
      </c>
      <c r="M15" s="384"/>
      <c r="N15" s="384">
        <v>5</v>
      </c>
      <c r="O15" s="384">
        <v>3</v>
      </c>
    </row>
    <row r="16" spans="1:15" s="332" customFormat="1" ht="15" customHeight="1">
      <c r="A16" s="394">
        <v>13.594444444444401</v>
      </c>
      <c r="B16" s="62" t="s">
        <v>70</v>
      </c>
      <c r="C16" s="387" t="s">
        <v>596</v>
      </c>
      <c r="D16" s="384">
        <v>22</v>
      </c>
      <c r="E16" s="384"/>
      <c r="F16" s="384"/>
      <c r="G16" s="384"/>
      <c r="H16" s="384"/>
      <c r="I16" s="384"/>
      <c r="J16" s="384">
        <v>5</v>
      </c>
      <c r="K16" s="384">
        <v>7</v>
      </c>
      <c r="L16" s="384"/>
      <c r="M16" s="384">
        <v>6</v>
      </c>
      <c r="N16" s="384">
        <v>4</v>
      </c>
      <c r="O16" s="384"/>
    </row>
    <row r="17" spans="1:15" s="332" customFormat="1" ht="15" customHeight="1">
      <c r="A17" s="394">
        <v>14.7111111111111</v>
      </c>
      <c r="B17" s="331" t="s">
        <v>72</v>
      </c>
      <c r="C17" s="388" t="s">
        <v>593</v>
      </c>
      <c r="D17" s="384">
        <v>17</v>
      </c>
      <c r="E17" s="384"/>
      <c r="F17" s="384"/>
      <c r="G17" s="384"/>
      <c r="H17" s="384"/>
      <c r="I17" s="384">
        <v>2</v>
      </c>
      <c r="J17" s="384"/>
      <c r="K17" s="384"/>
      <c r="L17" s="384">
        <v>10</v>
      </c>
      <c r="M17" s="384">
        <v>5</v>
      </c>
      <c r="N17" s="384"/>
      <c r="O17" s="384"/>
    </row>
    <row r="18" spans="1:15" s="332" customFormat="1" ht="15" customHeight="1">
      <c r="A18" s="394">
        <v>15.827777777777801</v>
      </c>
      <c r="B18" s="62" t="s">
        <v>73</v>
      </c>
      <c r="C18" s="387" t="s">
        <v>55</v>
      </c>
      <c r="D18" s="384">
        <v>24</v>
      </c>
      <c r="E18" s="384"/>
      <c r="F18" s="384"/>
      <c r="G18" s="384">
        <v>2</v>
      </c>
      <c r="H18" s="384"/>
      <c r="I18" s="384"/>
      <c r="J18" s="384"/>
      <c r="K18" s="384">
        <v>3</v>
      </c>
      <c r="L18" s="384">
        <v>6</v>
      </c>
      <c r="M18" s="384">
        <v>9</v>
      </c>
      <c r="N18" s="384">
        <v>2</v>
      </c>
      <c r="O18" s="384">
        <v>2</v>
      </c>
    </row>
    <row r="19" spans="1:15" s="332" customFormat="1" ht="15" customHeight="1">
      <c r="A19" s="394">
        <v>16.9444444444444</v>
      </c>
      <c r="B19" s="216" t="s">
        <v>74</v>
      </c>
      <c r="C19" s="388" t="s">
        <v>53</v>
      </c>
      <c r="D19" s="384">
        <v>18</v>
      </c>
      <c r="E19" s="384"/>
      <c r="F19" s="384"/>
      <c r="G19" s="384"/>
      <c r="H19" s="384">
        <v>18</v>
      </c>
      <c r="I19" s="384"/>
      <c r="J19" s="384"/>
      <c r="K19" s="384"/>
      <c r="L19" s="384"/>
      <c r="M19" s="384"/>
      <c r="N19" s="384"/>
      <c r="O19" s="384"/>
    </row>
    <row r="20" spans="1:15" s="332" customFormat="1" ht="15" customHeight="1">
      <c r="A20" s="394">
        <v>18.061111111111099</v>
      </c>
      <c r="B20" s="216" t="s">
        <v>76</v>
      </c>
      <c r="C20" s="388" t="s">
        <v>53</v>
      </c>
      <c r="D20" s="384">
        <v>18</v>
      </c>
      <c r="E20" s="384"/>
      <c r="F20" s="384">
        <v>18</v>
      </c>
      <c r="G20" s="384"/>
      <c r="H20" s="384"/>
      <c r="I20" s="384"/>
      <c r="J20" s="384"/>
      <c r="K20" s="384"/>
      <c r="L20" s="384"/>
      <c r="M20" s="384"/>
      <c r="N20" s="384"/>
      <c r="O20" s="384"/>
    </row>
    <row r="21" spans="1:15" s="332" customFormat="1" ht="15" customHeight="1">
      <c r="A21" s="394">
        <v>19.177777777777798</v>
      </c>
      <c r="B21" s="216" t="s">
        <v>77</v>
      </c>
      <c r="C21" s="387" t="s">
        <v>593</v>
      </c>
      <c r="D21" s="384">
        <v>17</v>
      </c>
      <c r="E21" s="384"/>
      <c r="F21" s="384"/>
      <c r="G21" s="384"/>
      <c r="H21" s="384"/>
      <c r="I21" s="384">
        <v>3</v>
      </c>
      <c r="J21" s="384"/>
      <c r="K21" s="384"/>
      <c r="L21" s="384">
        <v>7</v>
      </c>
      <c r="M21" s="384"/>
      <c r="N21" s="384">
        <v>1</v>
      </c>
      <c r="O21" s="384">
        <v>6</v>
      </c>
    </row>
    <row r="22" spans="1:15" s="332" customFormat="1" ht="15" customHeight="1">
      <c r="A22" s="394">
        <v>20.294444444444402</v>
      </c>
      <c r="B22" s="216" t="s">
        <v>78</v>
      </c>
      <c r="C22" s="387" t="s">
        <v>593</v>
      </c>
      <c r="D22" s="384">
        <v>17</v>
      </c>
      <c r="E22" s="384"/>
      <c r="F22" s="384"/>
      <c r="G22" s="384"/>
      <c r="H22" s="384"/>
      <c r="I22" s="384">
        <v>2</v>
      </c>
      <c r="J22" s="384">
        <v>5</v>
      </c>
      <c r="K22" s="384">
        <v>10</v>
      </c>
      <c r="L22" s="384"/>
      <c r="M22" s="384"/>
      <c r="N22" s="384"/>
      <c r="O22" s="384"/>
    </row>
    <row r="23" spans="1:15" s="332" customFormat="1" ht="15" customHeight="1">
      <c r="A23" s="394">
        <v>21.411111111111101</v>
      </c>
      <c r="B23" s="62" t="s">
        <v>80</v>
      </c>
      <c r="C23" s="387" t="s">
        <v>65</v>
      </c>
      <c r="D23" s="384">
        <v>19</v>
      </c>
      <c r="E23" s="384"/>
      <c r="F23" s="384"/>
      <c r="G23" s="384"/>
      <c r="H23" s="384"/>
      <c r="I23" s="384"/>
      <c r="J23" s="384"/>
      <c r="K23" s="384">
        <v>1</v>
      </c>
      <c r="L23" s="384">
        <v>6</v>
      </c>
      <c r="M23" s="384">
        <v>6</v>
      </c>
      <c r="N23" s="384">
        <v>4</v>
      </c>
      <c r="O23" s="384">
        <v>2</v>
      </c>
    </row>
    <row r="24" spans="1:15" s="332" customFormat="1" ht="15" customHeight="1">
      <c r="A24" s="395">
        <v>22.5277777777778</v>
      </c>
      <c r="B24" s="62" t="s">
        <v>83</v>
      </c>
      <c r="C24" s="387" t="s">
        <v>53</v>
      </c>
      <c r="D24" s="384">
        <v>16</v>
      </c>
      <c r="E24" s="384">
        <v>16</v>
      </c>
      <c r="F24" s="384"/>
      <c r="G24" s="384"/>
      <c r="H24" s="384"/>
      <c r="I24" s="384"/>
      <c r="J24" s="384"/>
      <c r="K24" s="384"/>
      <c r="L24" s="384"/>
      <c r="M24" s="384"/>
      <c r="N24" s="384"/>
      <c r="O24" s="384"/>
    </row>
    <row r="25" spans="1:15" s="332" customFormat="1" ht="15" customHeight="1">
      <c r="A25" s="394">
        <v>23.6444444444444</v>
      </c>
      <c r="B25" s="62" t="s">
        <v>84</v>
      </c>
      <c r="C25" s="387" t="s">
        <v>563</v>
      </c>
      <c r="D25" s="384">
        <v>16</v>
      </c>
      <c r="E25" s="384"/>
      <c r="F25" s="384"/>
      <c r="G25" s="384"/>
      <c r="H25" s="384"/>
      <c r="I25" s="384">
        <v>2</v>
      </c>
      <c r="J25" s="384"/>
      <c r="K25" s="384">
        <v>2</v>
      </c>
      <c r="L25" s="384">
        <v>2</v>
      </c>
      <c r="M25" s="384">
        <v>2</v>
      </c>
      <c r="N25" s="384">
        <v>6</v>
      </c>
      <c r="O25" s="384">
        <v>2</v>
      </c>
    </row>
    <row r="26" spans="1:15" s="332" customFormat="1" ht="15" customHeight="1">
      <c r="A26" s="394">
        <v>24.761111111111099</v>
      </c>
      <c r="B26" s="216" t="s">
        <v>88</v>
      </c>
      <c r="C26" s="387" t="s">
        <v>593</v>
      </c>
      <c r="D26" s="384">
        <v>18</v>
      </c>
      <c r="E26" s="384"/>
      <c r="F26" s="384"/>
      <c r="G26" s="384"/>
      <c r="H26" s="384"/>
      <c r="I26" s="384">
        <v>1</v>
      </c>
      <c r="J26" s="384">
        <v>5</v>
      </c>
      <c r="K26" s="384">
        <v>6</v>
      </c>
      <c r="L26" s="384"/>
      <c r="M26" s="384">
        <v>6</v>
      </c>
      <c r="N26" s="384"/>
      <c r="O26" s="384"/>
    </row>
    <row r="27" spans="1:15" s="332" customFormat="1" ht="15" customHeight="1">
      <c r="A27" s="394">
        <v>25.877777777777801</v>
      </c>
      <c r="B27" s="62" t="s">
        <v>89</v>
      </c>
      <c r="C27" s="387" t="s">
        <v>53</v>
      </c>
      <c r="D27" s="384">
        <v>16</v>
      </c>
      <c r="E27" s="384"/>
      <c r="F27" s="384"/>
      <c r="G27" s="384"/>
      <c r="H27" s="384">
        <v>16</v>
      </c>
      <c r="I27" s="384"/>
      <c r="J27" s="384"/>
      <c r="K27" s="384"/>
      <c r="L27" s="384"/>
      <c r="M27" s="384"/>
      <c r="N27" s="384"/>
      <c r="O27" s="384"/>
    </row>
    <row r="28" spans="1:15" s="332" customFormat="1" ht="15" customHeight="1">
      <c r="A28" s="394">
        <v>26.994444444444401</v>
      </c>
      <c r="B28" s="62" t="s">
        <v>90</v>
      </c>
      <c r="C28" s="387" t="s">
        <v>53</v>
      </c>
      <c r="D28" s="384">
        <v>16</v>
      </c>
      <c r="E28" s="384">
        <v>16</v>
      </c>
      <c r="F28" s="384"/>
      <c r="G28" s="384"/>
      <c r="H28" s="384"/>
      <c r="I28" s="384"/>
      <c r="J28" s="384"/>
      <c r="K28" s="384"/>
      <c r="L28" s="384"/>
      <c r="M28" s="384"/>
      <c r="N28" s="384"/>
      <c r="O28" s="384"/>
    </row>
    <row r="29" spans="1:15" s="332" customFormat="1" ht="15" customHeight="1">
      <c r="A29" s="394">
        <v>28.1111111111111</v>
      </c>
      <c r="B29" s="216" t="s">
        <v>91</v>
      </c>
      <c r="C29" s="387" t="s">
        <v>53</v>
      </c>
      <c r="D29" s="389">
        <v>18</v>
      </c>
      <c r="E29" s="384"/>
      <c r="F29" s="384">
        <v>18</v>
      </c>
      <c r="G29" s="384"/>
      <c r="H29" s="384"/>
      <c r="I29" s="384"/>
      <c r="J29" s="384"/>
      <c r="K29" s="384"/>
      <c r="L29" s="384"/>
      <c r="M29" s="384"/>
      <c r="N29" s="384"/>
      <c r="O29" s="384"/>
    </row>
    <row r="30" spans="1:15" s="332" customFormat="1" ht="15" customHeight="1">
      <c r="A30" s="394">
        <v>29.227777777777799</v>
      </c>
      <c r="B30" s="63" t="s">
        <v>92</v>
      </c>
      <c r="C30" s="387" t="s">
        <v>596</v>
      </c>
      <c r="D30" s="384">
        <v>21</v>
      </c>
      <c r="E30" s="384"/>
      <c r="F30" s="384"/>
      <c r="G30" s="384"/>
      <c r="H30" s="384"/>
      <c r="I30" s="384">
        <v>5</v>
      </c>
      <c r="J30" s="384"/>
      <c r="K30" s="384"/>
      <c r="L30" s="384"/>
      <c r="M30" s="384"/>
      <c r="N30" s="384">
        <v>12</v>
      </c>
      <c r="O30" s="384">
        <v>4</v>
      </c>
    </row>
    <row r="31" spans="1:15" s="332" customFormat="1" ht="15" customHeight="1">
      <c r="A31" s="394">
        <v>30.344444444444399</v>
      </c>
      <c r="B31" s="63" t="s">
        <v>95</v>
      </c>
      <c r="C31" s="387" t="s">
        <v>53</v>
      </c>
      <c r="D31" s="384">
        <v>18</v>
      </c>
      <c r="E31" s="384">
        <v>18</v>
      </c>
      <c r="F31" s="384"/>
      <c r="G31" s="384"/>
      <c r="H31" s="384"/>
      <c r="I31" s="384"/>
      <c r="J31" s="384"/>
      <c r="K31" s="384"/>
      <c r="L31" s="384"/>
      <c r="M31" s="384"/>
      <c r="N31" s="384"/>
      <c r="O31" s="384"/>
    </row>
    <row r="32" spans="1:15" s="332" customFormat="1" ht="15" customHeight="1">
      <c r="A32" s="394">
        <v>31.461111111111101</v>
      </c>
      <c r="B32" s="63" t="s">
        <v>96</v>
      </c>
      <c r="C32" s="387" t="s">
        <v>53</v>
      </c>
      <c r="D32" s="384">
        <v>16</v>
      </c>
      <c r="E32" s="384">
        <v>16</v>
      </c>
      <c r="F32" s="384"/>
      <c r="G32" s="384"/>
      <c r="H32" s="384"/>
      <c r="I32" s="384"/>
      <c r="J32" s="384"/>
      <c r="K32" s="384"/>
      <c r="L32" s="384"/>
      <c r="M32" s="384"/>
      <c r="N32" s="384"/>
      <c r="O32" s="384"/>
    </row>
    <row r="33" spans="1:15" s="332" customFormat="1" ht="15" customHeight="1">
      <c r="A33" s="395">
        <v>32.577777777777797</v>
      </c>
      <c r="B33" s="62" t="s">
        <v>99</v>
      </c>
      <c r="C33" s="387" t="s">
        <v>100</v>
      </c>
      <c r="D33" s="384">
        <v>21</v>
      </c>
      <c r="E33" s="384"/>
      <c r="F33" s="384"/>
      <c r="G33" s="384"/>
      <c r="H33" s="384"/>
      <c r="I33" s="384"/>
      <c r="J33" s="384"/>
      <c r="K33" s="384">
        <v>2</v>
      </c>
      <c r="L33" s="384">
        <v>10</v>
      </c>
      <c r="M33" s="384">
        <v>2</v>
      </c>
      <c r="N33" s="384">
        <v>6</v>
      </c>
      <c r="O33" s="384">
        <v>1</v>
      </c>
    </row>
    <row r="34" spans="1:15" s="332" customFormat="1" ht="15" customHeight="1">
      <c r="A34" s="394">
        <v>33.6944444444444</v>
      </c>
      <c r="B34" s="62" t="s">
        <v>101</v>
      </c>
      <c r="C34" s="387" t="s">
        <v>594</v>
      </c>
      <c r="D34" s="384">
        <v>17</v>
      </c>
      <c r="E34" s="384"/>
      <c r="F34" s="384"/>
      <c r="G34" s="384">
        <v>2</v>
      </c>
      <c r="H34" s="384"/>
      <c r="I34" s="384"/>
      <c r="J34" s="384"/>
      <c r="K34" s="384">
        <v>6</v>
      </c>
      <c r="L34" s="384">
        <v>6</v>
      </c>
      <c r="M34" s="384"/>
      <c r="N34" s="384">
        <v>3</v>
      </c>
      <c r="O34" s="384"/>
    </row>
    <row r="35" spans="1:15" s="332" customFormat="1" ht="15" customHeight="1">
      <c r="A35" s="394">
        <v>34.811111111111103</v>
      </c>
      <c r="B35" s="216" t="s">
        <v>102</v>
      </c>
      <c r="C35" s="387" t="s">
        <v>593</v>
      </c>
      <c r="D35" s="384">
        <v>16</v>
      </c>
      <c r="E35" s="384"/>
      <c r="F35" s="384"/>
      <c r="G35" s="384"/>
      <c r="H35" s="384"/>
      <c r="I35" s="384"/>
      <c r="J35" s="384"/>
      <c r="K35" s="384"/>
      <c r="L35" s="384"/>
      <c r="M35" s="384">
        <v>2</v>
      </c>
      <c r="N35" s="384">
        <v>8</v>
      </c>
      <c r="O35" s="384">
        <v>6</v>
      </c>
    </row>
    <row r="36" spans="1:15" s="332" customFormat="1" ht="15" customHeight="1">
      <c r="A36" s="394">
        <v>35.927777777777798</v>
      </c>
      <c r="B36" s="62" t="s">
        <v>105</v>
      </c>
      <c r="C36" s="387" t="s">
        <v>594</v>
      </c>
      <c r="D36" s="384">
        <v>17</v>
      </c>
      <c r="E36" s="384"/>
      <c r="F36" s="384"/>
      <c r="G36" s="384">
        <v>2</v>
      </c>
      <c r="H36" s="384"/>
      <c r="I36" s="384"/>
      <c r="J36" s="384"/>
      <c r="K36" s="384"/>
      <c r="L36" s="384"/>
      <c r="M36" s="384"/>
      <c r="N36" s="384">
        <v>9</v>
      </c>
      <c r="O36" s="384">
        <v>6</v>
      </c>
    </row>
    <row r="37" spans="1:15" s="332" customFormat="1" ht="15" customHeight="1">
      <c r="A37" s="394">
        <v>37.044444444444402</v>
      </c>
      <c r="B37" s="62" t="s">
        <v>106</v>
      </c>
      <c r="C37" s="387" t="s">
        <v>594</v>
      </c>
      <c r="D37" s="384">
        <v>19</v>
      </c>
      <c r="E37" s="384"/>
      <c r="F37" s="384"/>
      <c r="G37" s="384">
        <v>2</v>
      </c>
      <c r="H37" s="384"/>
      <c r="I37" s="384">
        <v>3</v>
      </c>
      <c r="J37" s="384"/>
      <c r="K37" s="384"/>
      <c r="L37" s="384">
        <v>6</v>
      </c>
      <c r="M37" s="384"/>
      <c r="N37" s="384">
        <v>5</v>
      </c>
      <c r="O37" s="384">
        <v>3</v>
      </c>
    </row>
    <row r="38" spans="1:15" s="332" customFormat="1" ht="15" customHeight="1">
      <c r="A38" s="394">
        <v>38.161111111111097</v>
      </c>
      <c r="B38" s="62" t="s">
        <v>200</v>
      </c>
      <c r="C38" s="387" t="s">
        <v>53</v>
      </c>
      <c r="D38" s="384">
        <v>8</v>
      </c>
      <c r="E38" s="384"/>
      <c r="F38" s="384">
        <v>4</v>
      </c>
      <c r="G38" s="384"/>
      <c r="H38" s="384">
        <v>4</v>
      </c>
      <c r="I38" s="384"/>
      <c r="J38" s="384"/>
      <c r="K38" s="384"/>
      <c r="L38" s="384"/>
      <c r="M38" s="384"/>
      <c r="N38" s="384"/>
      <c r="O38" s="384"/>
    </row>
    <row r="39" spans="1:15" s="332" customFormat="1" ht="15" customHeight="1">
      <c r="A39" s="394">
        <v>39.2777777777778</v>
      </c>
      <c r="B39" s="62" t="s">
        <v>75</v>
      </c>
      <c r="C39" s="387" t="s">
        <v>53</v>
      </c>
      <c r="D39" s="384">
        <v>16</v>
      </c>
      <c r="E39" s="384"/>
      <c r="F39" s="384"/>
      <c r="G39" s="384">
        <v>16</v>
      </c>
      <c r="H39" s="384"/>
      <c r="I39" s="384"/>
      <c r="J39" s="384"/>
      <c r="K39" s="384"/>
      <c r="L39" s="384"/>
      <c r="M39" s="384"/>
      <c r="N39" s="384"/>
      <c r="O39" s="384"/>
    </row>
    <row r="40" spans="1:15" s="332" customFormat="1" ht="15" customHeight="1">
      <c r="A40" s="394">
        <v>40.394444444444403</v>
      </c>
      <c r="B40" s="62" t="s">
        <v>112</v>
      </c>
      <c r="C40" s="387" t="s">
        <v>55</v>
      </c>
      <c r="D40" s="384">
        <v>22</v>
      </c>
      <c r="E40" s="384"/>
      <c r="F40" s="384"/>
      <c r="G40" s="384"/>
      <c r="H40" s="384"/>
      <c r="I40" s="384"/>
      <c r="J40" s="384"/>
      <c r="K40" s="384"/>
      <c r="L40" s="384">
        <v>9</v>
      </c>
      <c r="M40" s="384">
        <v>3</v>
      </c>
      <c r="N40" s="384">
        <v>10</v>
      </c>
      <c r="O40" s="384"/>
    </row>
    <row r="41" spans="1:15" s="332" customFormat="1" ht="15" customHeight="1">
      <c r="A41" s="394">
        <v>41.511111111111099</v>
      </c>
      <c r="B41" s="216" t="s">
        <v>113</v>
      </c>
      <c r="C41" s="280" t="s">
        <v>53</v>
      </c>
      <c r="D41" s="384">
        <v>18</v>
      </c>
      <c r="E41" s="384"/>
      <c r="F41" s="384"/>
      <c r="G41" s="384">
        <v>18</v>
      </c>
      <c r="H41" s="384"/>
      <c r="I41" s="384"/>
      <c r="J41" s="384"/>
      <c r="K41" s="384"/>
      <c r="L41" s="384"/>
      <c r="M41" s="384"/>
      <c r="N41" s="384"/>
      <c r="O41" s="384"/>
    </row>
    <row r="42" spans="1:15" s="332" customFormat="1" ht="15" customHeight="1">
      <c r="A42" s="395">
        <v>42.627777777777801</v>
      </c>
      <c r="B42" s="62" t="s">
        <v>115</v>
      </c>
      <c r="C42" s="387" t="s">
        <v>593</v>
      </c>
      <c r="D42" s="384">
        <v>17</v>
      </c>
      <c r="E42" s="384"/>
      <c r="F42" s="384"/>
      <c r="G42" s="384"/>
      <c r="H42" s="384"/>
      <c r="I42" s="384"/>
      <c r="J42" s="384">
        <v>10</v>
      </c>
      <c r="K42" s="384">
        <v>5</v>
      </c>
      <c r="L42" s="384">
        <v>1</v>
      </c>
      <c r="M42" s="384"/>
      <c r="N42" s="384">
        <v>1</v>
      </c>
      <c r="O42" s="384"/>
    </row>
    <row r="43" spans="1:15" s="332" customFormat="1" ht="15" customHeight="1">
      <c r="A43" s="394">
        <v>43.744444444444397</v>
      </c>
      <c r="B43" s="216" t="s">
        <v>116</v>
      </c>
      <c r="C43" s="387" t="s">
        <v>596</v>
      </c>
      <c r="D43" s="384">
        <v>22</v>
      </c>
      <c r="E43" s="384"/>
      <c r="F43" s="384"/>
      <c r="G43" s="384"/>
      <c r="H43" s="384"/>
      <c r="I43" s="384">
        <v>10</v>
      </c>
      <c r="J43" s="384"/>
      <c r="K43" s="384">
        <v>2</v>
      </c>
      <c r="L43" s="384">
        <v>4</v>
      </c>
      <c r="M43" s="384"/>
      <c r="N43" s="384"/>
      <c r="O43" s="384">
        <v>6</v>
      </c>
    </row>
    <row r="44" spans="1:15" s="332" customFormat="1" ht="15" customHeight="1">
      <c r="A44" s="394">
        <v>44.8611111111111</v>
      </c>
      <c r="B44" s="62" t="s">
        <v>117</v>
      </c>
      <c r="C44" s="387" t="s">
        <v>55</v>
      </c>
      <c r="D44" s="384">
        <v>22</v>
      </c>
      <c r="E44" s="384"/>
      <c r="F44" s="384"/>
      <c r="G44" s="384"/>
      <c r="H44" s="384"/>
      <c r="I44" s="384"/>
      <c r="J44" s="384"/>
      <c r="K44" s="384">
        <v>12</v>
      </c>
      <c r="L44" s="384">
        <v>6</v>
      </c>
      <c r="M44" s="384"/>
      <c r="N44" s="384"/>
      <c r="O44" s="384">
        <v>4</v>
      </c>
    </row>
    <row r="45" spans="1:15" s="332" customFormat="1" ht="15" customHeight="1">
      <c r="A45" s="394">
        <v>45.977777777777803</v>
      </c>
      <c r="B45" s="62" t="s">
        <v>119</v>
      </c>
      <c r="C45" s="390" t="s">
        <v>53</v>
      </c>
      <c r="D45" s="384">
        <v>16</v>
      </c>
      <c r="E45" s="384"/>
      <c r="F45" s="384">
        <v>16</v>
      </c>
      <c r="G45" s="384"/>
      <c r="H45" s="384"/>
      <c r="I45" s="384"/>
      <c r="J45" s="384"/>
      <c r="K45" s="384"/>
      <c r="L45" s="384"/>
      <c r="M45" s="384"/>
      <c r="N45" s="384"/>
      <c r="O45" s="384"/>
    </row>
    <row r="46" spans="1:15" s="332" customFormat="1" ht="15" customHeight="1">
      <c r="A46" s="394">
        <v>47.094444444444399</v>
      </c>
      <c r="B46" s="62" t="s">
        <v>120</v>
      </c>
      <c r="C46" s="390" t="s">
        <v>53</v>
      </c>
      <c r="D46" s="384">
        <v>16</v>
      </c>
      <c r="E46" s="384"/>
      <c r="F46" s="384"/>
      <c r="G46" s="384"/>
      <c r="H46" s="384">
        <v>16</v>
      </c>
      <c r="I46" s="384"/>
      <c r="J46" s="384"/>
      <c r="K46" s="384"/>
      <c r="L46" s="384"/>
      <c r="M46" s="384"/>
      <c r="N46" s="384"/>
      <c r="O46" s="384"/>
    </row>
    <row r="47" spans="1:15" s="332" customFormat="1" ht="15" customHeight="1">
      <c r="A47" s="394">
        <v>48.211111111111101</v>
      </c>
      <c r="B47" s="62" t="s">
        <v>121</v>
      </c>
      <c r="C47" s="390" t="s">
        <v>53</v>
      </c>
      <c r="D47" s="384">
        <v>16</v>
      </c>
      <c r="E47" s="384"/>
      <c r="F47" s="384"/>
      <c r="G47" s="384">
        <v>16</v>
      </c>
      <c r="H47" s="384"/>
      <c r="I47" s="384"/>
      <c r="J47" s="384"/>
      <c r="K47" s="384"/>
      <c r="L47" s="384"/>
      <c r="M47" s="384"/>
      <c r="N47" s="384"/>
      <c r="O47" s="384"/>
    </row>
    <row r="48" spans="1:15" s="332" customFormat="1" ht="15" customHeight="1">
      <c r="A48" s="394">
        <v>49.327777777777797</v>
      </c>
      <c r="B48" s="216" t="s">
        <v>122</v>
      </c>
      <c r="C48" s="387" t="s">
        <v>593</v>
      </c>
      <c r="D48" s="384">
        <v>17</v>
      </c>
      <c r="E48" s="384"/>
      <c r="F48" s="384"/>
      <c r="G48" s="384"/>
      <c r="H48" s="384"/>
      <c r="I48" s="384"/>
      <c r="J48" s="384">
        <v>5</v>
      </c>
      <c r="K48" s="384">
        <v>7</v>
      </c>
      <c r="L48" s="384"/>
      <c r="M48" s="384">
        <v>5</v>
      </c>
      <c r="N48" s="384"/>
      <c r="O48" s="384"/>
    </row>
    <row r="49" spans="1:15" s="332" customFormat="1" ht="15" customHeight="1">
      <c r="A49" s="394">
        <v>50.4444444444444</v>
      </c>
      <c r="B49" s="216" t="s">
        <v>125</v>
      </c>
      <c r="C49" s="387" t="s">
        <v>53</v>
      </c>
      <c r="D49" s="384">
        <v>16</v>
      </c>
      <c r="E49" s="384"/>
      <c r="F49" s="384"/>
      <c r="G49" s="384"/>
      <c r="H49" s="384">
        <v>16</v>
      </c>
      <c r="I49" s="384"/>
      <c r="J49" s="384"/>
      <c r="K49" s="384"/>
      <c r="L49" s="384"/>
      <c r="M49" s="384"/>
      <c r="N49" s="384"/>
      <c r="O49" s="384"/>
    </row>
    <row r="50" spans="1:15" s="332" customFormat="1" ht="15" customHeight="1">
      <c r="A50" s="394">
        <v>51.561111111111103</v>
      </c>
      <c r="B50" s="216" t="s">
        <v>165</v>
      </c>
      <c r="C50" s="387" t="s">
        <v>596</v>
      </c>
      <c r="D50" s="384">
        <v>20</v>
      </c>
      <c r="E50" s="384"/>
      <c r="F50" s="384"/>
      <c r="G50" s="384"/>
      <c r="H50" s="384"/>
      <c r="I50" s="384">
        <v>5</v>
      </c>
      <c r="J50" s="384">
        <v>15</v>
      </c>
      <c r="K50" s="384"/>
      <c r="L50" s="384"/>
      <c r="M50" s="384"/>
      <c r="N50" s="384"/>
      <c r="O50" s="384"/>
    </row>
    <row r="51" spans="1:15" s="332" customFormat="1" ht="15" customHeight="1">
      <c r="A51" s="395">
        <v>52.677777777777798</v>
      </c>
      <c r="B51" s="218" t="s">
        <v>134</v>
      </c>
      <c r="C51" s="387" t="s">
        <v>596</v>
      </c>
      <c r="D51" s="384">
        <v>20</v>
      </c>
      <c r="E51" s="384"/>
      <c r="F51" s="384"/>
      <c r="G51" s="384"/>
      <c r="H51" s="384"/>
      <c r="I51" s="384">
        <v>10</v>
      </c>
      <c r="J51" s="384"/>
      <c r="K51" s="384"/>
      <c r="L51" s="384">
        <v>5</v>
      </c>
      <c r="M51" s="384">
        <v>5</v>
      </c>
      <c r="N51" s="384"/>
      <c r="O51" s="384"/>
    </row>
    <row r="52" spans="1:15" s="332" customFormat="1" ht="15" customHeight="1">
      <c r="A52" s="394">
        <v>53.794444444444402</v>
      </c>
      <c r="B52" s="81" t="s">
        <v>175</v>
      </c>
      <c r="C52" s="387" t="s">
        <v>563</v>
      </c>
      <c r="D52" s="384">
        <v>4</v>
      </c>
      <c r="E52" s="384"/>
      <c r="F52" s="384"/>
      <c r="G52" s="384"/>
      <c r="H52" s="384"/>
      <c r="I52" s="384"/>
      <c r="J52" s="384"/>
      <c r="K52" s="384">
        <v>4</v>
      </c>
      <c r="L52" s="384"/>
      <c r="M52" s="384"/>
      <c r="N52" s="384"/>
      <c r="O52" s="384"/>
    </row>
    <row r="53" spans="1:15" s="332" customFormat="1" ht="15" customHeight="1">
      <c r="A53" s="394">
        <v>54.911111111111097</v>
      </c>
      <c r="B53" s="216" t="s">
        <v>451</v>
      </c>
      <c r="C53" s="280" t="s">
        <v>55</v>
      </c>
      <c r="D53" s="384">
        <v>21</v>
      </c>
      <c r="E53" s="384"/>
      <c r="F53" s="384">
        <v>2</v>
      </c>
      <c r="G53" s="384">
        <v>2</v>
      </c>
      <c r="H53" s="384">
        <v>2</v>
      </c>
      <c r="I53" s="384">
        <v>3</v>
      </c>
      <c r="J53" s="384">
        <v>3</v>
      </c>
      <c r="K53" s="384">
        <v>3</v>
      </c>
      <c r="L53" s="384"/>
      <c r="M53" s="384">
        <v>6</v>
      </c>
      <c r="N53" s="384"/>
      <c r="O53" s="384"/>
    </row>
    <row r="54" spans="1:15" s="332" customFormat="1" ht="15" customHeight="1">
      <c r="A54" s="394">
        <v>56.0277777777778</v>
      </c>
      <c r="B54" s="62" t="s">
        <v>126</v>
      </c>
      <c r="C54" s="280" t="s">
        <v>100</v>
      </c>
      <c r="D54" s="384">
        <v>18</v>
      </c>
      <c r="E54" s="384"/>
      <c r="F54" s="384"/>
      <c r="G54" s="384"/>
      <c r="H54" s="384"/>
      <c r="I54" s="384"/>
      <c r="J54" s="384"/>
      <c r="K54" s="384">
        <v>2</v>
      </c>
      <c r="L54" s="384"/>
      <c r="M54" s="384">
        <v>8</v>
      </c>
      <c r="N54" s="384">
        <v>4</v>
      </c>
      <c r="O54" s="384">
        <v>4</v>
      </c>
    </row>
    <row r="55" spans="1:15" s="332" customFormat="1" ht="15" customHeight="1">
      <c r="A55" s="394">
        <v>57.144444444444403</v>
      </c>
      <c r="B55" s="81" t="s">
        <v>456</v>
      </c>
      <c r="C55" s="280" t="s">
        <v>596</v>
      </c>
      <c r="D55" s="384">
        <v>20</v>
      </c>
      <c r="E55" s="384"/>
      <c r="F55" s="384"/>
      <c r="G55" s="384"/>
      <c r="H55" s="384"/>
      <c r="I55" s="384"/>
      <c r="J55" s="384"/>
      <c r="K55" s="384"/>
      <c r="L55" s="384"/>
      <c r="M55" s="384">
        <v>8</v>
      </c>
      <c r="N55" s="384">
        <v>8</v>
      </c>
      <c r="O55" s="384">
        <v>4</v>
      </c>
    </row>
    <row r="56" spans="1:15" s="332" customFormat="1" ht="15" customHeight="1">
      <c r="A56" s="394">
        <v>58.261111111111099</v>
      </c>
      <c r="B56" s="63" t="s">
        <v>559</v>
      </c>
      <c r="C56" s="280" t="s">
        <v>53</v>
      </c>
      <c r="D56" s="384">
        <v>16</v>
      </c>
      <c r="E56" s="384"/>
      <c r="F56" s="384">
        <v>2</v>
      </c>
      <c r="G56" s="384">
        <v>8</v>
      </c>
      <c r="H56" s="384">
        <v>6</v>
      </c>
      <c r="I56" s="384"/>
      <c r="J56" s="384"/>
      <c r="K56" s="384"/>
      <c r="L56" s="384"/>
      <c r="M56" s="384"/>
      <c r="N56" s="384"/>
      <c r="O56" s="384"/>
    </row>
    <row r="57" spans="1:15" s="332" customFormat="1" ht="15" customHeight="1">
      <c r="A57" s="394">
        <v>59.377777777777801</v>
      </c>
      <c r="B57" s="78" t="s">
        <v>129</v>
      </c>
      <c r="C57" s="280" t="s">
        <v>53</v>
      </c>
      <c r="D57" s="384">
        <v>15</v>
      </c>
      <c r="E57" s="384"/>
      <c r="F57" s="384">
        <v>15</v>
      </c>
      <c r="G57" s="384"/>
      <c r="H57" s="384"/>
      <c r="I57" s="384"/>
      <c r="J57" s="384"/>
      <c r="K57" s="384"/>
      <c r="L57" s="384"/>
      <c r="M57" s="384"/>
      <c r="N57" s="384"/>
      <c r="O57" s="384"/>
    </row>
    <row r="58" spans="1:15" s="332" customFormat="1" ht="15" customHeight="1">
      <c r="A58" s="394">
        <v>60.494444444444397</v>
      </c>
      <c r="B58" s="219" t="s">
        <v>130</v>
      </c>
      <c r="C58" s="280" t="s">
        <v>53</v>
      </c>
      <c r="D58" s="384">
        <v>15</v>
      </c>
      <c r="E58" s="384"/>
      <c r="F58" s="384">
        <v>15</v>
      </c>
      <c r="G58" s="384"/>
      <c r="H58" s="384"/>
      <c r="I58" s="384"/>
      <c r="J58" s="384"/>
      <c r="K58" s="384"/>
      <c r="L58" s="384"/>
      <c r="M58" s="384"/>
      <c r="N58" s="384"/>
      <c r="O58" s="384"/>
    </row>
    <row r="59" spans="1:15" s="332" customFormat="1" ht="15" customHeight="1">
      <c r="A59" s="394">
        <v>61.6111111111111</v>
      </c>
      <c r="B59" s="78" t="s">
        <v>131</v>
      </c>
      <c r="C59" s="280" t="s">
        <v>53</v>
      </c>
      <c r="D59" s="384">
        <v>15</v>
      </c>
      <c r="E59" s="384"/>
      <c r="F59" s="384">
        <v>15</v>
      </c>
      <c r="G59" s="384"/>
      <c r="H59" s="384"/>
      <c r="I59" s="384"/>
      <c r="J59" s="384"/>
      <c r="K59" s="384"/>
      <c r="L59" s="384"/>
      <c r="M59" s="384"/>
      <c r="N59" s="384"/>
      <c r="O59" s="384"/>
    </row>
    <row r="60" spans="1:15" s="332" customFormat="1" ht="15" customHeight="1">
      <c r="A60" s="395">
        <v>62.727777777777803</v>
      </c>
      <c r="B60" s="78" t="s">
        <v>132</v>
      </c>
      <c r="C60" s="280" t="s">
        <v>53</v>
      </c>
      <c r="D60" s="384">
        <v>16</v>
      </c>
      <c r="E60" s="384"/>
      <c r="F60" s="384"/>
      <c r="G60" s="384">
        <v>16</v>
      </c>
      <c r="H60" s="384"/>
      <c r="I60" s="384"/>
      <c r="J60" s="384"/>
      <c r="K60" s="384"/>
      <c r="L60" s="384"/>
      <c r="M60" s="384"/>
      <c r="N60" s="384"/>
      <c r="O60" s="384"/>
    </row>
    <row r="61" spans="1:15" s="332" customFormat="1" ht="15" customHeight="1">
      <c r="A61" s="394">
        <v>63.844444444444399</v>
      </c>
      <c r="B61" s="78" t="s">
        <v>135</v>
      </c>
      <c r="C61" s="280" t="s">
        <v>53</v>
      </c>
      <c r="D61" s="384">
        <v>16</v>
      </c>
      <c r="E61" s="384"/>
      <c r="F61" s="384"/>
      <c r="G61" s="384"/>
      <c r="H61" s="384">
        <v>16</v>
      </c>
      <c r="I61" s="384"/>
      <c r="J61" s="384"/>
      <c r="K61" s="384"/>
      <c r="L61" s="384"/>
      <c r="M61" s="384"/>
      <c r="N61" s="384"/>
      <c r="O61" s="384"/>
    </row>
    <row r="62" spans="1:15" s="332" customFormat="1" ht="15" customHeight="1">
      <c r="A62" s="394">
        <v>64.961111111111094</v>
      </c>
      <c r="B62" s="78" t="s">
        <v>137</v>
      </c>
      <c r="C62" s="280" t="s">
        <v>596</v>
      </c>
      <c r="D62" s="384">
        <v>18</v>
      </c>
      <c r="E62" s="384"/>
      <c r="F62" s="384"/>
      <c r="G62" s="384"/>
      <c r="H62" s="384"/>
      <c r="I62" s="384"/>
      <c r="J62" s="384"/>
      <c r="K62" s="384">
        <v>3</v>
      </c>
      <c r="L62" s="384">
        <v>15</v>
      </c>
      <c r="M62" s="384"/>
      <c r="N62" s="384"/>
      <c r="O62" s="384"/>
    </row>
    <row r="63" spans="1:15" s="332" customFormat="1" ht="15" customHeight="1">
      <c r="A63" s="394">
        <v>66.077777777777797</v>
      </c>
      <c r="B63" s="78" t="s">
        <v>139</v>
      </c>
      <c r="C63" s="280" t="s">
        <v>563</v>
      </c>
      <c r="D63" s="384">
        <v>16</v>
      </c>
      <c r="E63" s="384"/>
      <c r="F63" s="384"/>
      <c r="G63" s="384"/>
      <c r="H63" s="384"/>
      <c r="I63" s="384">
        <v>4</v>
      </c>
      <c r="J63" s="384"/>
      <c r="K63" s="384">
        <v>2</v>
      </c>
      <c r="L63" s="384"/>
      <c r="M63" s="384">
        <v>4</v>
      </c>
      <c r="N63" s="384">
        <v>4</v>
      </c>
      <c r="O63" s="384">
        <v>2</v>
      </c>
    </row>
    <row r="64" spans="1:15" s="332" customFormat="1" ht="15" customHeight="1">
      <c r="A64" s="394">
        <v>67.1944444444444</v>
      </c>
      <c r="B64" s="78" t="s">
        <v>141</v>
      </c>
      <c r="C64" s="280" t="s">
        <v>594</v>
      </c>
      <c r="D64" s="384">
        <v>16</v>
      </c>
      <c r="E64" s="384"/>
      <c r="F64" s="384"/>
      <c r="G64" s="384"/>
      <c r="H64" s="384">
        <v>4</v>
      </c>
      <c r="I64" s="384"/>
      <c r="J64" s="384">
        <v>12</v>
      </c>
      <c r="K64" s="384"/>
      <c r="L64" s="384"/>
      <c r="M64" s="384"/>
      <c r="N64" s="384"/>
      <c r="O64" s="384"/>
    </row>
    <row r="65" spans="1:15" s="332" customFormat="1" ht="15" customHeight="1">
      <c r="A65" s="394">
        <v>68.311111111111103</v>
      </c>
      <c r="B65" s="78" t="s">
        <v>142</v>
      </c>
      <c r="C65" s="280" t="s">
        <v>594</v>
      </c>
      <c r="D65" s="384">
        <v>18</v>
      </c>
      <c r="E65" s="384"/>
      <c r="F65" s="384"/>
      <c r="G65" s="384"/>
      <c r="H65" s="384">
        <v>2</v>
      </c>
      <c r="I65" s="384">
        <v>4</v>
      </c>
      <c r="J65" s="384">
        <v>4</v>
      </c>
      <c r="K65" s="384"/>
      <c r="L65" s="384">
        <v>4</v>
      </c>
      <c r="M65" s="384"/>
      <c r="N65" s="384">
        <v>4</v>
      </c>
      <c r="O65" s="384"/>
    </row>
    <row r="66" spans="1:15" s="332" customFormat="1" ht="15" customHeight="1">
      <c r="A66" s="394">
        <v>69.427777777777806</v>
      </c>
      <c r="B66" s="216" t="s">
        <v>168</v>
      </c>
      <c r="C66" s="280" t="s">
        <v>55</v>
      </c>
      <c r="D66" s="384">
        <v>21</v>
      </c>
      <c r="E66" s="384"/>
      <c r="F66" s="384"/>
      <c r="G66" s="384"/>
      <c r="H66" s="384"/>
      <c r="I66" s="384">
        <v>9</v>
      </c>
      <c r="J66" s="384"/>
      <c r="K66" s="384">
        <v>12</v>
      </c>
      <c r="L66" s="384"/>
      <c r="M66" s="384"/>
      <c r="N66" s="384"/>
      <c r="O66" s="384"/>
    </row>
    <row r="67" spans="1:15" s="332" customFormat="1" ht="15" customHeight="1">
      <c r="A67" s="394">
        <v>70.544444444444395</v>
      </c>
      <c r="B67" s="78" t="s">
        <v>144</v>
      </c>
      <c r="C67" s="280" t="s">
        <v>594</v>
      </c>
      <c r="D67" s="384">
        <v>15</v>
      </c>
      <c r="E67" s="384"/>
      <c r="F67" s="384"/>
      <c r="G67" s="384">
        <v>2</v>
      </c>
      <c r="H67" s="384"/>
      <c r="I67" s="384">
        <v>3</v>
      </c>
      <c r="J67" s="384"/>
      <c r="K67" s="384">
        <v>1</v>
      </c>
      <c r="L67" s="384"/>
      <c r="M67" s="384">
        <v>9</v>
      </c>
      <c r="N67" s="384"/>
      <c r="O67" s="384"/>
    </row>
    <row r="68" spans="1:15" s="332" customFormat="1" ht="15" customHeight="1">
      <c r="A68" s="394">
        <v>71.661111111111097</v>
      </c>
      <c r="B68" s="78" t="s">
        <v>454</v>
      </c>
      <c r="C68" s="280" t="s">
        <v>594</v>
      </c>
      <c r="D68" s="384">
        <v>16</v>
      </c>
      <c r="E68" s="384"/>
      <c r="F68" s="384"/>
      <c r="G68" s="384">
        <v>3</v>
      </c>
      <c r="H68" s="384"/>
      <c r="I68" s="384">
        <v>9</v>
      </c>
      <c r="J68" s="384"/>
      <c r="K68" s="384">
        <v>3</v>
      </c>
      <c r="L68" s="384"/>
      <c r="M68" s="384">
        <v>1</v>
      </c>
      <c r="N68" s="384"/>
      <c r="O68" s="384"/>
    </row>
    <row r="69" spans="1:15" s="332" customFormat="1" ht="15" customHeight="1">
      <c r="A69" s="395">
        <v>72.7777777777778</v>
      </c>
      <c r="B69" s="78" t="s">
        <v>455</v>
      </c>
      <c r="C69" s="280" t="s">
        <v>594</v>
      </c>
      <c r="D69" s="384">
        <v>16</v>
      </c>
      <c r="E69" s="384"/>
      <c r="F69" s="384"/>
      <c r="G69" s="384"/>
      <c r="H69" s="384">
        <v>3</v>
      </c>
      <c r="I69" s="384"/>
      <c r="J69" s="384"/>
      <c r="K69" s="384">
        <v>3</v>
      </c>
      <c r="L69" s="384">
        <v>3</v>
      </c>
      <c r="M69" s="384">
        <v>4</v>
      </c>
      <c r="N69" s="384"/>
      <c r="O69" s="384">
        <v>3</v>
      </c>
    </row>
    <row r="70" spans="1:15" s="332" customFormat="1" ht="15" customHeight="1">
      <c r="A70" s="394">
        <v>73.894444444444403</v>
      </c>
      <c r="B70" s="102" t="s">
        <v>562</v>
      </c>
      <c r="C70" s="280" t="s">
        <v>594</v>
      </c>
      <c r="D70" s="384">
        <v>16</v>
      </c>
      <c r="E70" s="384"/>
      <c r="F70" s="384"/>
      <c r="G70" s="384"/>
      <c r="H70" s="384"/>
      <c r="I70" s="384"/>
      <c r="J70" s="384"/>
      <c r="K70" s="384">
        <v>2</v>
      </c>
      <c r="L70" s="384">
        <v>8</v>
      </c>
      <c r="M70" s="384">
        <v>4</v>
      </c>
      <c r="N70" s="384"/>
      <c r="O70" s="384">
        <v>2</v>
      </c>
    </row>
    <row r="71" spans="1:15" s="332" customFormat="1" ht="15" customHeight="1">
      <c r="A71" s="394">
        <v>75.011111111111106</v>
      </c>
      <c r="B71" s="216" t="s">
        <v>176</v>
      </c>
      <c r="C71" s="280" t="s">
        <v>53</v>
      </c>
      <c r="D71" s="384">
        <v>16</v>
      </c>
      <c r="E71" s="384"/>
      <c r="F71" s="384"/>
      <c r="G71" s="384">
        <v>16</v>
      </c>
      <c r="H71" s="384"/>
      <c r="I71" s="384"/>
      <c r="J71" s="384"/>
      <c r="K71" s="384"/>
      <c r="L71" s="384"/>
      <c r="M71" s="384"/>
      <c r="N71" s="384"/>
      <c r="O71" s="384"/>
    </row>
    <row r="72" spans="1:15" s="332" customFormat="1" ht="15" customHeight="1">
      <c r="A72" s="394">
        <v>76.127777777777695</v>
      </c>
      <c r="B72" s="391" t="s">
        <v>564</v>
      </c>
      <c r="C72" s="280" t="s">
        <v>594</v>
      </c>
      <c r="D72" s="384">
        <v>14</v>
      </c>
      <c r="E72" s="384"/>
      <c r="F72" s="384"/>
      <c r="G72" s="384">
        <v>2</v>
      </c>
      <c r="H72" s="384"/>
      <c r="I72" s="384"/>
      <c r="J72" s="384"/>
      <c r="K72" s="384">
        <v>3</v>
      </c>
      <c r="L72" s="384">
        <v>6</v>
      </c>
      <c r="M72" s="384">
        <v>3</v>
      </c>
      <c r="N72" s="384"/>
      <c r="O72" s="384"/>
    </row>
    <row r="73" spans="1:15" s="332" customFormat="1" ht="15" customHeight="1">
      <c r="A73" s="394">
        <v>77.244444444444397</v>
      </c>
      <c r="B73" s="78" t="s">
        <v>152</v>
      </c>
      <c r="C73" s="280" t="s">
        <v>55</v>
      </c>
      <c r="D73" s="384">
        <v>23</v>
      </c>
      <c r="E73" s="384"/>
      <c r="F73" s="384"/>
      <c r="G73" s="384"/>
      <c r="H73" s="384"/>
      <c r="I73" s="384"/>
      <c r="J73" s="384">
        <v>12</v>
      </c>
      <c r="K73" s="384"/>
      <c r="L73" s="384">
        <v>3</v>
      </c>
      <c r="M73" s="384"/>
      <c r="N73" s="384">
        <v>6</v>
      </c>
      <c r="O73" s="384">
        <v>2</v>
      </c>
    </row>
    <row r="74" spans="1:15" s="332" customFormat="1" ht="15" customHeight="1">
      <c r="A74" s="394">
        <v>78.3611111111111</v>
      </c>
      <c r="B74" s="216" t="s">
        <v>170</v>
      </c>
      <c r="C74" s="280" t="s">
        <v>594</v>
      </c>
      <c r="D74" s="384">
        <v>17</v>
      </c>
      <c r="E74" s="384"/>
      <c r="F74" s="384"/>
      <c r="G74" s="384">
        <v>2</v>
      </c>
      <c r="H74" s="384"/>
      <c r="I74" s="384">
        <v>3</v>
      </c>
      <c r="J74" s="384"/>
      <c r="K74" s="384"/>
      <c r="L74" s="384"/>
      <c r="M74" s="384">
        <v>12</v>
      </c>
      <c r="N74" s="384"/>
      <c r="O74" s="384"/>
    </row>
    <row r="75" spans="1:15" s="332" customFormat="1" ht="15" customHeight="1">
      <c r="A75" s="394">
        <v>79.477777777777803</v>
      </c>
      <c r="B75" s="78" t="s">
        <v>155</v>
      </c>
      <c r="C75" s="280" t="s">
        <v>787</v>
      </c>
      <c r="D75" s="384">
        <v>14</v>
      </c>
      <c r="E75" s="384"/>
      <c r="F75" s="384">
        <v>4</v>
      </c>
      <c r="G75" s="384"/>
      <c r="H75" s="384">
        <v>2</v>
      </c>
      <c r="I75" s="384">
        <v>4</v>
      </c>
      <c r="J75" s="384"/>
      <c r="K75" s="384"/>
      <c r="L75" s="384"/>
      <c r="M75" s="384"/>
      <c r="N75" s="384">
        <v>4</v>
      </c>
      <c r="O75" s="384"/>
    </row>
    <row r="76" spans="1:15" s="332" customFormat="1" ht="15" customHeight="1">
      <c r="A76" s="394">
        <v>80.594444444444406</v>
      </c>
      <c r="B76" s="78" t="s">
        <v>145</v>
      </c>
      <c r="C76" s="280" t="s">
        <v>53</v>
      </c>
      <c r="D76" s="384">
        <v>16</v>
      </c>
      <c r="E76" s="384"/>
      <c r="F76" s="384"/>
      <c r="G76" s="384">
        <v>16</v>
      </c>
      <c r="H76" s="384"/>
      <c r="I76" s="384"/>
      <c r="J76" s="384"/>
      <c r="K76" s="384"/>
      <c r="L76" s="384"/>
      <c r="M76" s="384"/>
      <c r="N76" s="384"/>
      <c r="O76" s="384"/>
    </row>
    <row r="77" spans="1:15" s="332" customFormat="1" ht="15" customHeight="1">
      <c r="A77" s="394">
        <v>81.711111111111094</v>
      </c>
      <c r="B77" s="78" t="s">
        <v>148</v>
      </c>
      <c r="C77" s="280" t="s">
        <v>65</v>
      </c>
      <c r="D77" s="384">
        <v>16</v>
      </c>
      <c r="E77" s="384"/>
      <c r="F77" s="384"/>
      <c r="G77" s="384"/>
      <c r="H77" s="384"/>
      <c r="I77" s="384"/>
      <c r="J77" s="384">
        <v>7</v>
      </c>
      <c r="K77" s="384"/>
      <c r="L77" s="384">
        <v>8</v>
      </c>
      <c r="M77" s="384"/>
      <c r="N77" s="384">
        <v>1</v>
      </c>
      <c r="O77" s="384"/>
    </row>
    <row r="78" spans="1:15" s="332" customFormat="1" ht="15" customHeight="1">
      <c r="A78" s="395">
        <v>82.827777777777797</v>
      </c>
      <c r="B78" s="216" t="s">
        <v>149</v>
      </c>
      <c r="C78" s="387" t="s">
        <v>593</v>
      </c>
      <c r="D78" s="384">
        <v>16</v>
      </c>
      <c r="E78" s="384"/>
      <c r="F78" s="384"/>
      <c r="G78" s="384"/>
      <c r="H78" s="384"/>
      <c r="I78" s="384"/>
      <c r="J78" s="384">
        <v>5</v>
      </c>
      <c r="K78" s="384"/>
      <c r="L78" s="384">
        <v>7</v>
      </c>
      <c r="M78" s="384"/>
      <c r="N78" s="384">
        <v>4</v>
      </c>
      <c r="O78" s="384"/>
    </row>
    <row r="79" spans="1:15" s="332" customFormat="1" ht="15" customHeight="1">
      <c r="A79" s="394">
        <v>83.9444444444444</v>
      </c>
      <c r="B79" s="78" t="s">
        <v>150</v>
      </c>
      <c r="C79" s="280" t="s">
        <v>55</v>
      </c>
      <c r="D79" s="384">
        <v>20</v>
      </c>
      <c r="E79" s="384"/>
      <c r="F79" s="384"/>
      <c r="G79" s="384"/>
      <c r="H79" s="384"/>
      <c r="I79" s="384">
        <v>6</v>
      </c>
      <c r="J79" s="384"/>
      <c r="K79" s="384">
        <v>6</v>
      </c>
      <c r="L79" s="384"/>
      <c r="M79" s="384">
        <v>6</v>
      </c>
      <c r="N79" s="384">
        <v>2</v>
      </c>
      <c r="O79" s="384"/>
    </row>
    <row r="80" spans="1:15" s="332" customFormat="1" ht="15" customHeight="1">
      <c r="A80" s="394">
        <v>85.061111111111103</v>
      </c>
      <c r="B80" s="78" t="s">
        <v>153</v>
      </c>
      <c r="C80" s="280" t="s">
        <v>596</v>
      </c>
      <c r="D80" s="384">
        <v>22</v>
      </c>
      <c r="E80" s="384"/>
      <c r="F80" s="384"/>
      <c r="G80" s="384"/>
      <c r="H80" s="384"/>
      <c r="I80" s="384"/>
      <c r="J80" s="384"/>
      <c r="K80" s="384">
        <v>17</v>
      </c>
      <c r="L80" s="384"/>
      <c r="M80" s="384">
        <v>5</v>
      </c>
      <c r="N80" s="384"/>
      <c r="O80" s="384"/>
    </row>
    <row r="81" spans="1:15" s="332" customFormat="1" ht="15" customHeight="1">
      <c r="A81" s="394">
        <v>86.177777777777706</v>
      </c>
      <c r="B81" s="216" t="s">
        <v>164</v>
      </c>
      <c r="C81" s="280" t="s">
        <v>594</v>
      </c>
      <c r="D81" s="384">
        <v>16</v>
      </c>
      <c r="E81" s="384"/>
      <c r="F81" s="384"/>
      <c r="G81" s="384"/>
      <c r="H81" s="384">
        <v>4</v>
      </c>
      <c r="I81" s="384"/>
      <c r="J81" s="384">
        <v>12</v>
      </c>
      <c r="K81" s="384"/>
      <c r="L81" s="384"/>
      <c r="M81" s="384"/>
      <c r="N81" s="384"/>
      <c r="O81" s="384"/>
    </row>
    <row r="82" spans="1:15" s="332" customFormat="1" ht="15" customHeight="1">
      <c r="A82" s="394">
        <v>87.294444444444395</v>
      </c>
      <c r="B82" s="216" t="s">
        <v>166</v>
      </c>
      <c r="C82" s="280" t="s">
        <v>594</v>
      </c>
      <c r="D82" s="384">
        <v>15</v>
      </c>
      <c r="E82" s="384"/>
      <c r="F82" s="384"/>
      <c r="G82" s="384"/>
      <c r="H82" s="384"/>
      <c r="I82" s="384">
        <v>6</v>
      </c>
      <c r="J82" s="384"/>
      <c r="K82" s="384">
        <v>9</v>
      </c>
      <c r="L82" s="384"/>
      <c r="M82" s="384"/>
      <c r="N82" s="384"/>
      <c r="O82" s="384"/>
    </row>
    <row r="83" spans="1:15" s="332" customFormat="1" ht="15" customHeight="1">
      <c r="A83" s="394">
        <v>88.411111111111097</v>
      </c>
      <c r="B83" s="216" t="s">
        <v>169</v>
      </c>
      <c r="C83" s="280" t="s">
        <v>594</v>
      </c>
      <c r="D83" s="384">
        <v>13</v>
      </c>
      <c r="E83" s="384"/>
      <c r="F83" s="384"/>
      <c r="G83" s="384">
        <v>4</v>
      </c>
      <c r="H83" s="384">
        <v>6</v>
      </c>
      <c r="I83" s="384"/>
      <c r="J83" s="384"/>
      <c r="K83" s="384"/>
      <c r="L83" s="384">
        <v>3</v>
      </c>
      <c r="M83" s="384"/>
      <c r="N83" s="384"/>
      <c r="O83" s="384"/>
    </row>
    <row r="84" spans="1:15" s="332" customFormat="1" ht="15" customHeight="1">
      <c r="A84" s="394">
        <v>89.5277777777778</v>
      </c>
      <c r="B84" s="216" t="s">
        <v>171</v>
      </c>
      <c r="C84" s="280" t="s">
        <v>594</v>
      </c>
      <c r="D84" s="384">
        <v>13</v>
      </c>
      <c r="E84" s="384"/>
      <c r="F84" s="384"/>
      <c r="G84" s="384">
        <v>4</v>
      </c>
      <c r="H84" s="384">
        <v>6</v>
      </c>
      <c r="I84" s="384"/>
      <c r="J84" s="384"/>
      <c r="K84" s="384"/>
      <c r="L84" s="384">
        <v>3</v>
      </c>
      <c r="M84" s="384"/>
      <c r="N84" s="384"/>
      <c r="O84" s="384"/>
    </row>
    <row r="85" spans="1:15" s="332" customFormat="1" ht="15" customHeight="1">
      <c r="A85" s="394">
        <v>90.644444444444403</v>
      </c>
      <c r="B85" s="79" t="s">
        <v>172</v>
      </c>
      <c r="C85" s="280" t="s">
        <v>563</v>
      </c>
      <c r="D85" s="384">
        <v>13</v>
      </c>
      <c r="E85" s="384"/>
      <c r="F85" s="384">
        <v>2</v>
      </c>
      <c r="G85" s="384">
        <v>2</v>
      </c>
      <c r="H85" s="384">
        <v>1</v>
      </c>
      <c r="I85" s="384"/>
      <c r="J85" s="384"/>
      <c r="K85" s="384">
        <v>6</v>
      </c>
      <c r="L85" s="384">
        <v>2</v>
      </c>
      <c r="M85" s="384"/>
      <c r="N85" s="384"/>
      <c r="O85" s="384"/>
    </row>
    <row r="86" spans="1:15" s="332" customFormat="1" ht="15" customHeight="1">
      <c r="A86" s="394">
        <v>91.761111111111106</v>
      </c>
      <c r="B86" s="245" t="s">
        <v>560</v>
      </c>
      <c r="C86" s="280" t="s">
        <v>53</v>
      </c>
      <c r="D86" s="384">
        <v>15</v>
      </c>
      <c r="E86" s="384"/>
      <c r="F86" s="384">
        <v>10</v>
      </c>
      <c r="G86" s="384"/>
      <c r="H86" s="384">
        <v>5</v>
      </c>
      <c r="I86" s="384"/>
      <c r="J86" s="384"/>
      <c r="K86" s="384"/>
      <c r="L86" s="384"/>
      <c r="M86" s="384"/>
      <c r="N86" s="384"/>
      <c r="O86" s="384"/>
    </row>
    <row r="87" spans="1:15" ht="15" customHeight="1">
      <c r="A87" s="275"/>
      <c r="B87" s="278" t="s">
        <v>623</v>
      </c>
      <c r="C87" s="392"/>
      <c r="D87" s="282">
        <f t="shared" ref="D87:O87" si="0">SUM(D5:D86)</f>
        <v>1393</v>
      </c>
      <c r="E87" s="393">
        <f t="shared" si="0"/>
        <v>82</v>
      </c>
      <c r="F87" s="393">
        <f t="shared" si="0"/>
        <v>131</v>
      </c>
      <c r="G87" s="393">
        <f t="shared" si="0"/>
        <v>137</v>
      </c>
      <c r="H87" s="393">
        <f t="shared" si="0"/>
        <v>129</v>
      </c>
      <c r="I87" s="393">
        <f t="shared" si="0"/>
        <v>112</v>
      </c>
      <c r="J87" s="393">
        <f t="shared" si="0"/>
        <v>120</v>
      </c>
      <c r="K87" s="393">
        <f t="shared" si="0"/>
        <v>163</v>
      </c>
      <c r="L87" s="393">
        <f t="shared" si="0"/>
        <v>160</v>
      </c>
      <c r="M87" s="393">
        <f t="shared" si="0"/>
        <v>144</v>
      </c>
      <c r="N87" s="393">
        <f t="shared" si="0"/>
        <v>142</v>
      </c>
      <c r="O87" s="393">
        <f t="shared" si="0"/>
        <v>73</v>
      </c>
    </row>
    <row r="89" spans="1:15">
      <c r="B89" s="597" t="s">
        <v>812</v>
      </c>
      <c r="C89" s="533"/>
      <c r="D89" s="533"/>
      <c r="E89" s="533"/>
      <c r="F89" s="533"/>
      <c r="G89" s="533"/>
      <c r="H89" s="533"/>
      <c r="I89" s="533"/>
      <c r="J89" s="533"/>
      <c r="K89" s="533"/>
      <c r="L89" s="533"/>
      <c r="M89" s="533"/>
      <c r="N89" s="533"/>
      <c r="O89" s="533"/>
    </row>
  </sheetData>
  <mergeCells count="3">
    <mergeCell ref="B89:O89"/>
    <mergeCell ref="B1:O1"/>
    <mergeCell ref="B2:O2"/>
  </mergeCells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8"/>
  <sheetViews>
    <sheetView view="pageBreakPreview" zoomScale="90" zoomScaleNormal="76" zoomScaleSheetLayoutView="90" workbookViewId="0">
      <selection sqref="A1:H26"/>
    </sheetView>
  </sheetViews>
  <sheetFormatPr defaultColWidth="9.140625" defaultRowHeight="15.75"/>
  <cols>
    <col min="1" max="1" width="5.42578125" style="87" customWidth="1"/>
    <col min="2" max="2" width="23.5703125" style="83" customWidth="1"/>
    <col min="3" max="3" width="15.28515625" style="83" customWidth="1"/>
    <col min="4" max="4" width="10" style="82" customWidth="1"/>
    <col min="5" max="5" width="7" style="87" customWidth="1"/>
    <col min="6" max="6" width="7.5703125" style="12" customWidth="1"/>
    <col min="7" max="7" width="6.85546875" style="12" customWidth="1"/>
    <col min="8" max="8" width="7.42578125" style="90" customWidth="1"/>
    <col min="9" max="16384" width="9.140625" style="82"/>
  </cols>
  <sheetData>
    <row r="1" spans="1:8" s="7" customFormat="1" ht="17.25" customHeight="1">
      <c r="A1" s="6"/>
      <c r="E1" s="6"/>
      <c r="F1" s="6"/>
      <c r="G1" s="6"/>
      <c r="H1" s="8"/>
    </row>
    <row r="2" spans="1:8" s="9" customFormat="1" ht="35.25" customHeight="1">
      <c r="A2" s="583" t="s">
        <v>809</v>
      </c>
      <c r="B2" s="584"/>
      <c r="C2" s="584"/>
      <c r="D2" s="584"/>
      <c r="E2" s="584"/>
      <c r="F2" s="584"/>
      <c r="G2" s="584"/>
      <c r="H2" s="584"/>
    </row>
    <row r="3" spans="1:8" s="7" customFormat="1" ht="14.25" customHeight="1">
      <c r="A3" s="42"/>
      <c r="B3" s="43"/>
      <c r="C3" s="43"/>
      <c r="D3" s="42"/>
      <c r="E3" s="46"/>
      <c r="F3" s="46"/>
      <c r="G3" s="46"/>
      <c r="H3" s="46"/>
    </row>
    <row r="4" spans="1:8" s="49" customFormat="1" ht="18.75" customHeight="1">
      <c r="A4" s="582" t="s">
        <v>10</v>
      </c>
      <c r="B4" s="582" t="s">
        <v>11</v>
      </c>
      <c r="C4" s="582" t="s">
        <v>12</v>
      </c>
      <c r="D4" s="580" t="s">
        <v>13</v>
      </c>
      <c r="E4" s="599" t="s">
        <v>20</v>
      </c>
      <c r="F4" s="600"/>
      <c r="G4" s="600"/>
      <c r="H4" s="603" t="s">
        <v>788</v>
      </c>
    </row>
    <row r="5" spans="1:8" s="49" customFormat="1" ht="24.75" customHeight="1">
      <c r="A5" s="582"/>
      <c r="B5" s="582"/>
      <c r="C5" s="582"/>
      <c r="D5" s="580"/>
      <c r="E5" s="601"/>
      <c r="F5" s="602"/>
      <c r="G5" s="602"/>
      <c r="H5" s="604"/>
    </row>
    <row r="6" spans="1:8" s="49" customFormat="1" ht="72.75" customHeight="1">
      <c r="A6" s="582"/>
      <c r="B6" s="582"/>
      <c r="C6" s="582"/>
      <c r="D6" s="580"/>
      <c r="E6" s="380" t="s">
        <v>40</v>
      </c>
      <c r="F6" s="380" t="s">
        <v>42</v>
      </c>
      <c r="G6" s="380" t="s">
        <v>43</v>
      </c>
      <c r="H6" s="605"/>
    </row>
    <row r="7" spans="1:8" s="7" customFormat="1" ht="12.75">
      <c r="A7" s="399">
        <v>1</v>
      </c>
      <c r="B7" s="400">
        <v>2</v>
      </c>
      <c r="C7" s="400">
        <v>3</v>
      </c>
      <c r="D7" s="399">
        <v>4</v>
      </c>
      <c r="E7" s="400">
        <v>5</v>
      </c>
      <c r="F7" s="400">
        <v>6</v>
      </c>
      <c r="G7" s="399">
        <v>7</v>
      </c>
      <c r="H7" s="400">
        <v>8</v>
      </c>
    </row>
    <row r="8" spans="1:8" s="209" customFormat="1" ht="15" customHeight="1">
      <c r="A8" s="242">
        <v>1</v>
      </c>
      <c r="B8" s="62" t="s">
        <v>59</v>
      </c>
      <c r="C8" s="63" t="s">
        <v>60</v>
      </c>
      <c r="D8" s="64" t="s">
        <v>50</v>
      </c>
      <c r="E8" s="69"/>
      <c r="F8" s="69">
        <v>9</v>
      </c>
      <c r="G8" s="69">
        <v>9</v>
      </c>
      <c r="H8" s="66">
        <v>18</v>
      </c>
    </row>
    <row r="9" spans="1:8" s="204" customFormat="1" ht="15" customHeight="1">
      <c r="A9" s="242">
        <v>2</v>
      </c>
      <c r="B9" s="62" t="s">
        <v>68</v>
      </c>
      <c r="C9" s="63" t="s">
        <v>67</v>
      </c>
      <c r="D9" s="64" t="s">
        <v>50</v>
      </c>
      <c r="E9" s="51"/>
      <c r="F9" s="396">
        <v>12</v>
      </c>
      <c r="G9" s="396">
        <v>6</v>
      </c>
      <c r="H9" s="66">
        <v>18</v>
      </c>
    </row>
    <row r="10" spans="1:8" s="204" customFormat="1" ht="15" customHeight="1">
      <c r="A10" s="51">
        <v>3</v>
      </c>
      <c r="B10" s="62" t="s">
        <v>74</v>
      </c>
      <c r="C10" s="63" t="s">
        <v>53</v>
      </c>
      <c r="D10" s="64" t="s">
        <v>50</v>
      </c>
      <c r="E10" s="69">
        <v>18</v>
      </c>
      <c r="F10" s="397"/>
      <c r="G10" s="397"/>
      <c r="H10" s="66">
        <v>11</v>
      </c>
    </row>
    <row r="11" spans="1:8" s="204" customFormat="1" ht="15" customHeight="1">
      <c r="A11" s="51">
        <v>4</v>
      </c>
      <c r="B11" s="62" t="s">
        <v>77</v>
      </c>
      <c r="C11" s="63" t="s">
        <v>67</v>
      </c>
      <c r="D11" s="64" t="s">
        <v>50</v>
      </c>
      <c r="E11" s="210"/>
      <c r="F11" s="210">
        <v>10</v>
      </c>
      <c r="G11" s="396">
        <v>7</v>
      </c>
      <c r="H11" s="66">
        <v>17</v>
      </c>
    </row>
    <row r="12" spans="1:8" s="204" customFormat="1" ht="15" customHeight="1">
      <c r="A12" s="51">
        <v>5</v>
      </c>
      <c r="B12" s="62" t="s">
        <v>81</v>
      </c>
      <c r="C12" s="63" t="s">
        <v>82</v>
      </c>
      <c r="D12" s="64" t="s">
        <v>50</v>
      </c>
      <c r="E12" s="51">
        <v>3</v>
      </c>
      <c r="F12" s="396">
        <v>2</v>
      </c>
      <c r="G12" s="396">
        <v>1</v>
      </c>
      <c r="H12" s="66">
        <v>1</v>
      </c>
    </row>
    <row r="13" spans="1:8" s="204" customFormat="1" ht="15" customHeight="1">
      <c r="A13" s="51">
        <v>6</v>
      </c>
      <c r="B13" s="62" t="s">
        <v>88</v>
      </c>
      <c r="C13" s="63" t="s">
        <v>67</v>
      </c>
      <c r="D13" s="64" t="s">
        <v>50</v>
      </c>
      <c r="E13" s="210"/>
      <c r="F13" s="210">
        <v>18</v>
      </c>
      <c r="G13" s="210"/>
      <c r="H13" s="66">
        <v>18</v>
      </c>
    </row>
    <row r="14" spans="1:8" s="204" customFormat="1" ht="15" customHeight="1">
      <c r="A14" s="242">
        <v>7</v>
      </c>
      <c r="B14" s="62" t="s">
        <v>91</v>
      </c>
      <c r="C14" s="63" t="s">
        <v>53</v>
      </c>
      <c r="D14" s="64" t="s">
        <v>50</v>
      </c>
      <c r="E14" s="210">
        <v>18</v>
      </c>
      <c r="F14" s="398"/>
      <c r="G14" s="398"/>
      <c r="H14" s="66">
        <v>11</v>
      </c>
    </row>
    <row r="15" spans="1:8" s="204" customFormat="1" ht="15" customHeight="1">
      <c r="A15" s="242">
        <v>8</v>
      </c>
      <c r="B15" s="63" t="s">
        <v>95</v>
      </c>
      <c r="C15" s="63" t="s">
        <v>53</v>
      </c>
      <c r="D15" s="64" t="s">
        <v>50</v>
      </c>
      <c r="E15" s="206">
        <v>18</v>
      </c>
      <c r="F15" s="203"/>
      <c r="G15" s="203"/>
      <c r="H15" s="66">
        <v>11</v>
      </c>
    </row>
    <row r="16" spans="1:8" s="204" customFormat="1" ht="15" customHeight="1">
      <c r="A16" s="51">
        <v>9</v>
      </c>
      <c r="B16" s="62" t="s">
        <v>113</v>
      </c>
      <c r="C16" s="63" t="s">
        <v>53</v>
      </c>
      <c r="D16" s="64" t="s">
        <v>50</v>
      </c>
      <c r="E16" s="210">
        <v>18</v>
      </c>
      <c r="F16" s="210"/>
      <c r="G16" s="210"/>
      <c r="H16" s="66">
        <v>11</v>
      </c>
    </row>
    <row r="17" spans="1:8" s="215" customFormat="1" ht="15" customHeight="1">
      <c r="A17" s="51">
        <v>10</v>
      </c>
      <c r="B17" s="78" t="s">
        <v>138</v>
      </c>
      <c r="C17" s="219" t="s">
        <v>57</v>
      </c>
      <c r="D17" s="64" t="s">
        <v>50</v>
      </c>
      <c r="E17" s="210">
        <v>4</v>
      </c>
      <c r="F17" s="210">
        <v>8</v>
      </c>
      <c r="G17" s="210"/>
      <c r="H17" s="66">
        <v>1</v>
      </c>
    </row>
    <row r="18" spans="1:8" s="215" customFormat="1" ht="15" customHeight="1">
      <c r="A18" s="51">
        <v>11</v>
      </c>
      <c r="B18" s="78" t="s">
        <v>142</v>
      </c>
      <c r="C18" s="219" t="s">
        <v>60</v>
      </c>
      <c r="D18" s="64" t="s">
        <v>50</v>
      </c>
      <c r="E18" s="210">
        <v>2</v>
      </c>
      <c r="F18" s="210">
        <v>13</v>
      </c>
      <c r="G18" s="210">
        <v>3</v>
      </c>
      <c r="H18" s="66">
        <v>18</v>
      </c>
    </row>
    <row r="19" spans="1:8" s="215" customFormat="1" ht="15" customHeight="1">
      <c r="A19" s="51">
        <v>12</v>
      </c>
      <c r="B19" s="78" t="s">
        <v>144</v>
      </c>
      <c r="C19" s="219" t="s">
        <v>60</v>
      </c>
      <c r="D19" s="64" t="s">
        <v>50</v>
      </c>
      <c r="E19" s="210">
        <v>2</v>
      </c>
      <c r="F19" s="210">
        <v>13</v>
      </c>
      <c r="G19" s="210"/>
      <c r="H19" s="66">
        <v>8</v>
      </c>
    </row>
    <row r="20" spans="1:8" s="215" customFormat="1" ht="15" customHeight="1">
      <c r="A20" s="242">
        <v>13</v>
      </c>
      <c r="B20" s="78" t="s">
        <v>454</v>
      </c>
      <c r="C20" s="219" t="s">
        <v>60</v>
      </c>
      <c r="D20" s="64" t="s">
        <v>50</v>
      </c>
      <c r="E20" s="210">
        <v>3</v>
      </c>
      <c r="F20" s="210">
        <v>13</v>
      </c>
      <c r="G20" s="210"/>
      <c r="H20" s="66">
        <v>4</v>
      </c>
    </row>
    <row r="21" spans="1:8" s="215" customFormat="1" ht="15" customHeight="1">
      <c r="A21" s="242">
        <v>14</v>
      </c>
      <c r="B21" s="78" t="s">
        <v>455</v>
      </c>
      <c r="C21" s="219" t="s">
        <v>60</v>
      </c>
      <c r="D21" s="64" t="s">
        <v>50</v>
      </c>
      <c r="E21" s="210">
        <v>3</v>
      </c>
      <c r="F21" s="210">
        <v>10</v>
      </c>
      <c r="G21" s="210">
        <v>3</v>
      </c>
      <c r="H21" s="66">
        <v>16</v>
      </c>
    </row>
    <row r="22" spans="1:8" s="238" customFormat="1" ht="15" customHeight="1">
      <c r="A22" s="401"/>
      <c r="B22" s="402"/>
      <c r="C22" s="402"/>
      <c r="D22" s="402"/>
      <c r="E22" s="403">
        <f>SUM(E8:E21)</f>
        <v>89</v>
      </c>
      <c r="F22" s="404">
        <f>SUM(F8:F21)</f>
        <v>108</v>
      </c>
      <c r="G22" s="404">
        <f>SUM(G8:G21)</f>
        <v>29</v>
      </c>
      <c r="H22" s="404">
        <f>SUM(H8:H21)</f>
        <v>163</v>
      </c>
    </row>
    <row r="23" spans="1:8" ht="12.75">
      <c r="A23" s="82"/>
      <c r="F23" s="82"/>
      <c r="G23" s="82"/>
      <c r="H23" s="82"/>
    </row>
    <row r="24" spans="1:8" ht="12.75">
      <c r="A24" s="82"/>
      <c r="F24" s="82"/>
      <c r="G24" s="82"/>
      <c r="H24" s="82"/>
    </row>
    <row r="25" spans="1:8" customFormat="1">
      <c r="B25" s="438" t="s">
        <v>811</v>
      </c>
      <c r="C25" s="267"/>
      <c r="D25" s="267"/>
      <c r="E25" s="439"/>
    </row>
    <row r="26" spans="1:8" ht="22.5" customHeight="1">
      <c r="A26" s="82"/>
      <c r="B26" s="575"/>
      <c r="C26" s="575"/>
      <c r="D26" s="575"/>
      <c r="E26" s="379"/>
      <c r="F26" s="82"/>
      <c r="G26" s="82"/>
      <c r="H26" s="82"/>
    </row>
    <row r="27" spans="1:8">
      <c r="A27" s="82"/>
      <c r="B27" s="187"/>
      <c r="C27" s="43"/>
      <c r="E27" s="2"/>
      <c r="F27" s="82"/>
      <c r="G27" s="82"/>
      <c r="H27" s="82"/>
    </row>
    <row r="28" spans="1:8" ht="25.5" customHeight="1">
      <c r="A28" s="82"/>
      <c r="B28" s="576"/>
      <c r="C28" s="576"/>
      <c r="D28" s="576"/>
      <c r="E28" s="381"/>
      <c r="F28" s="82"/>
      <c r="G28" s="82"/>
      <c r="H28" s="82"/>
    </row>
  </sheetData>
  <mergeCells count="9">
    <mergeCell ref="B26:D26"/>
    <mergeCell ref="B28:D28"/>
    <mergeCell ref="E4:G5"/>
    <mergeCell ref="A2:H2"/>
    <mergeCell ref="A4:A6"/>
    <mergeCell ref="B4:B6"/>
    <mergeCell ref="C4:C6"/>
    <mergeCell ref="D4:D6"/>
    <mergeCell ref="H4:H6"/>
  </mergeCells>
  <pageMargins left="0.59055118110236227" right="0.59055118110236227" top="0.59055118110236227" bottom="0.59055118110236227" header="0" footer="0"/>
  <pageSetup paperSize="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15</vt:i4>
      </vt:variant>
    </vt:vector>
  </HeadingPairs>
  <TitlesOfParts>
    <vt:vector size="33" baseType="lpstr">
      <vt:lpstr>Свод </vt:lpstr>
      <vt:lpstr>тексеру тариф</vt:lpstr>
      <vt:lpstr>АУП 2023</vt:lpstr>
      <vt:lpstr>МҰҒАЛІМ</vt:lpstr>
      <vt:lpstr>ШТАТ</vt:lpstr>
      <vt:lpstr>анық</vt:lpstr>
      <vt:lpstr>Магист,ағылшын,санат</vt:lpstr>
      <vt:lpstr>Дәптер</vt:lpstr>
      <vt:lpstr>Гимназя сағат</vt:lpstr>
      <vt:lpstr>үйден оқыту </vt:lpstr>
      <vt:lpstr>Перетариф К.Абдуллаева</vt:lpstr>
      <vt:lpstr>Жұмашова.А</vt:lpstr>
      <vt:lpstr>К.Манабаева</vt:lpstr>
      <vt:lpstr>А.Ұлымбаева</vt:lpstr>
      <vt:lpstr>штат А.Ұлымбаева</vt:lpstr>
      <vt:lpstr>ФайзуллаеваЛ Исаева</vt:lpstr>
      <vt:lpstr>Тұрғанбек Ұ</vt:lpstr>
      <vt:lpstr>Үйден Бөрібай Н</vt:lpstr>
      <vt:lpstr>А.Ұлымбаева!Область_печати</vt:lpstr>
      <vt:lpstr>анық!Область_печати</vt:lpstr>
      <vt:lpstr>'АУП 2023'!Область_печати</vt:lpstr>
      <vt:lpstr>'Гимназя сағат'!Область_печати</vt:lpstr>
      <vt:lpstr>Жұмашова.А!Область_печати</vt:lpstr>
      <vt:lpstr>К.Манабаева!Область_печати</vt:lpstr>
      <vt:lpstr>МҰҒАЛІМ!Область_печати</vt:lpstr>
      <vt:lpstr>'Перетариф К.Абдуллаева'!Область_печати</vt:lpstr>
      <vt:lpstr>'Свод '!Область_печати</vt:lpstr>
      <vt:lpstr>'тексеру тариф'!Область_печати</vt:lpstr>
      <vt:lpstr>'Тұрғанбек Ұ'!Область_печати</vt:lpstr>
      <vt:lpstr>'Үйден Бөрібай Н'!Область_печати</vt:lpstr>
      <vt:lpstr>'үйден оқыту '!Область_печати</vt:lpstr>
      <vt:lpstr>'ФайзуллаеваЛ Исаева'!Область_печати</vt:lpstr>
      <vt:lpstr>'штат А.Ұлымбаева'!Область_печати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XTreme.ws</cp:lastModifiedBy>
  <cp:lastPrinted>2023-12-10T17:40:09Z</cp:lastPrinted>
  <dcterms:created xsi:type="dcterms:W3CDTF">2022-10-10T08:04:45Z</dcterms:created>
  <dcterms:modified xsi:type="dcterms:W3CDTF">2024-03-24T18:07:04Z</dcterms:modified>
</cp:coreProperties>
</file>